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defaultThemeVersion="166925"/>
  <mc:AlternateContent xmlns:mc="http://schemas.openxmlformats.org/markup-compatibility/2006">
    <mc:Choice Requires="x15">
      <x15ac:absPath xmlns:x15ac="http://schemas.microsoft.com/office/spreadsheetml/2010/11/ac" url="D:\Reporte seguimiento PESEM 2022\"/>
    </mc:Choice>
  </mc:AlternateContent>
  <xr:revisionPtr revIDLastSave="0" documentId="8_{400B0EC2-0978-430A-9F4B-01F697141E9E}" xr6:coauthVersionLast="36" xr6:coauthVersionMax="36" xr10:uidLastSave="{00000000-0000-0000-0000-000000000000}"/>
  <bookViews>
    <workbookView xWindow="0" yWindow="0" windowWidth="28800" windowHeight="12990" activeTab="1" xr2:uid="{00000000-000D-0000-FFFF-FFFF00000000}"/>
  </bookViews>
  <sheets>
    <sheet name="Instrucciones" sheetId="7" r:id="rId1"/>
    <sheet name="1. " sheetId="5" r:id="rId2"/>
    <sheet name="lista" sheetId="6" state="hidden" r:id="rId3"/>
  </sheets>
  <externalReferences>
    <externalReference r:id="rId4"/>
  </externalReferences>
  <definedNames>
    <definedName name="_xlnm._FilterDatabase" localSheetId="1" hidden="1">'1. '!$B$10:$AI$49</definedName>
    <definedName name="_xlnm.Print_Area" localSheetId="1">'1. '!$A$2:$AC$64</definedName>
    <definedName name="Ascendente">lista!$C$5:$C$6</definedName>
    <definedName name="Descendente">lista!$D$5:$D$6</definedName>
    <definedName name="No_definido">lista!$E$5:$E$6</definedName>
    <definedName name="sentido" localSheetId="0">[1]Listas!$CD$3:$CD$5</definedName>
    <definedName name="sentido">#REF!</definedName>
    <definedName name="_xlnm.Print_Titles" localSheetId="1">'1. '!$8:$10</definedName>
  </definedNames>
  <calcPr calcId="191029"/>
</workbook>
</file>

<file path=xl/calcChain.xml><?xml version="1.0" encoding="utf-8"?>
<calcChain xmlns="http://schemas.openxmlformats.org/spreadsheetml/2006/main">
  <c r="Z12" i="5" l="1"/>
  <c r="I57" i="5" l="1"/>
  <c r="I56" i="5"/>
  <c r="I55" i="5"/>
  <c r="I54" i="5"/>
  <c r="Z48" i="5"/>
  <c r="AC48" i="5" s="1"/>
  <c r="Z47" i="5" s="1"/>
  <c r="Z46" i="5"/>
  <c r="AC46" i="5" s="1"/>
  <c r="Z45" i="5"/>
  <c r="AC45" i="5" s="1"/>
  <c r="Z44" i="5" s="1"/>
  <c r="Z43" i="5"/>
  <c r="AC43" i="5" s="1"/>
  <c r="Z42" i="5" s="1"/>
  <c r="Z35" i="5"/>
  <c r="AC35" i="5" s="1"/>
  <c r="Z36" i="5"/>
  <c r="AC36" i="5" s="1"/>
  <c r="Z32" i="5"/>
  <c r="AC32" i="5" s="1"/>
  <c r="Z27" i="5"/>
  <c r="AC27" i="5" s="1"/>
  <c r="Z26" i="5"/>
  <c r="AC26" i="5" s="1"/>
  <c r="Z41" i="5" l="1"/>
  <c r="AC41" i="5" s="1"/>
  <c r="Z40" i="5" s="1"/>
  <c r="Z39" i="5"/>
  <c r="AC39" i="5" s="1"/>
  <c r="Z38" i="5" s="1"/>
  <c r="Z37" i="5"/>
  <c r="AC37" i="5" s="1"/>
  <c r="Z34" i="5" s="1"/>
  <c r="Z33" i="5"/>
  <c r="AC33" i="5" s="1"/>
  <c r="Z31" i="5" s="1"/>
  <c r="Z30" i="5"/>
  <c r="AC30" i="5" s="1"/>
  <c r="Z29" i="5" s="1"/>
  <c r="Z28" i="5"/>
  <c r="AC28" i="5" s="1"/>
  <c r="Z25" i="5" s="1"/>
  <c r="Z24" i="5"/>
  <c r="AC24" i="5" s="1"/>
  <c r="Z23" i="5" s="1"/>
  <c r="Z22" i="5"/>
  <c r="AC22" i="5" s="1"/>
  <c r="Z21" i="5" s="1"/>
  <c r="Z20" i="5"/>
  <c r="Z18" i="5"/>
  <c r="AC18" i="5" s="1"/>
  <c r="Z16" i="5"/>
  <c r="AC16" i="5" s="1"/>
  <c r="Z14" i="5"/>
  <c r="H57" i="5" l="1"/>
  <c r="G57" i="5"/>
  <c r="F57" i="5"/>
  <c r="E57" i="5"/>
  <c r="D57" i="5"/>
  <c r="F55" i="5"/>
  <c r="H55" i="5"/>
  <c r="E55" i="5"/>
  <c r="D55" i="5"/>
  <c r="G55" i="5"/>
  <c r="AC20" i="5"/>
  <c r="Z19" i="5" s="1"/>
  <c r="AC12" i="5"/>
  <c r="Z11" i="5" s="1"/>
  <c r="AC14" i="5"/>
  <c r="Z13" i="5" s="1"/>
  <c r="Z15" i="5"/>
  <c r="Z17" i="5"/>
  <c r="G56" i="5" l="1"/>
  <c r="H56" i="5"/>
  <c r="F56" i="5"/>
  <c r="E56" i="5"/>
  <c r="D56" i="5"/>
  <c r="D54" i="5"/>
  <c r="E54" i="5"/>
  <c r="H54" i="5"/>
  <c r="G54" i="5"/>
  <c r="F54" i="5"/>
</calcChain>
</file>

<file path=xl/sharedStrings.xml><?xml version="1.0" encoding="utf-8"?>
<sst xmlns="http://schemas.openxmlformats.org/spreadsheetml/2006/main" count="240" uniqueCount="141">
  <si>
    <t>OES.01</t>
  </si>
  <si>
    <t>UE</t>
  </si>
  <si>
    <t>Año</t>
  </si>
  <si>
    <t>Valor</t>
  </si>
  <si>
    <t>IND.01.OES.01</t>
  </si>
  <si>
    <t>ND</t>
  </si>
  <si>
    <t>AES.01.01</t>
  </si>
  <si>
    <t>AES.01.02</t>
  </si>
  <si>
    <t>Porcentaje</t>
  </si>
  <si>
    <t>AES.01.03</t>
  </si>
  <si>
    <t>OES.02</t>
  </si>
  <si>
    <t>IND.01.OES.02</t>
  </si>
  <si>
    <t>AES.02.01</t>
  </si>
  <si>
    <t>AES.02.02</t>
  </si>
  <si>
    <t>AES.02.03</t>
  </si>
  <si>
    <t>OES.03</t>
  </si>
  <si>
    <t>IND.01.OES.03</t>
  </si>
  <si>
    <t>AES.03.01</t>
  </si>
  <si>
    <t>Número</t>
  </si>
  <si>
    <t>AES.03.02</t>
  </si>
  <si>
    <t>AES.03.03</t>
  </si>
  <si>
    <t>AES.03.04</t>
  </si>
  <si>
    <t>Llenar</t>
  </si>
  <si>
    <t>Total</t>
  </si>
  <si>
    <t>Código</t>
  </si>
  <si>
    <t>Objetivo Estratégico/
Acción Estratégica/
Indicador</t>
  </si>
  <si>
    <t>Responsable del elemento / indicador</t>
  </si>
  <si>
    <t>Parámetro de medición</t>
  </si>
  <si>
    <t>Sentido esperado</t>
  </si>
  <si>
    <t>Tipo de agregación</t>
  </si>
  <si>
    <t>Línea base</t>
  </si>
  <si>
    <t>Valores obtenidos</t>
  </si>
  <si>
    <t>Avance Tipo 1 (%)</t>
  </si>
  <si>
    <t>Unidad orgánica responsbale</t>
  </si>
  <si>
    <t>Sentido</t>
  </si>
  <si>
    <t>Ascendente</t>
  </si>
  <si>
    <t>Descendente</t>
  </si>
  <si>
    <t>No definido</t>
  </si>
  <si>
    <t>Acumulado</t>
  </si>
  <si>
    <t>Máximo permisible</t>
  </si>
  <si>
    <t>No acumulado</t>
  </si>
  <si>
    <t>Mínimo permisible</t>
  </si>
  <si>
    <t>No_definido</t>
  </si>
  <si>
    <t>INDA.01.AES.01.01</t>
  </si>
  <si>
    <t>INDA.01.AES.01.02</t>
  </si>
  <si>
    <t>INDA.01.AES.01.03</t>
  </si>
  <si>
    <t>INDA.01.AES.02.01</t>
  </si>
  <si>
    <t>INDA.01.AES.02.02</t>
  </si>
  <si>
    <t>INDA.01.AES.02.03</t>
  </si>
  <si>
    <t>INDA.01.AES.03.01</t>
  </si>
  <si>
    <t>INDA.01.AES.03.02</t>
  </si>
  <si>
    <t>INDA.01.AES.03.04</t>
  </si>
  <si>
    <t>INDA.01.AES.03.03</t>
  </si>
  <si>
    <t>Centro Nacional de Planeamiento Estratégico</t>
  </si>
  <si>
    <t>Dirección Nacional de Seguimiento y Evaluación (DNSE)</t>
  </si>
  <si>
    <t>Instrucciones de uso</t>
  </si>
  <si>
    <t>INCREMENTAR LA COMPETITIVIDAD DE LOS AGENTES ECONÓMICOS DEL SECTOR PRODUCCIÓN (Prioridad:1)</t>
  </si>
  <si>
    <t>FORTALECER EL DESARROLLO EMPRESARIAL DE LAS MICRO, PEQUEÑA Y MEDIANAS EMPRESAS (MIPYME) (Prioridad:1)</t>
  </si>
  <si>
    <t>MEJORAR LA CADENA DE VALOR DE LAS ACTIVIDADES DE PESCA Y ACUICULTURA (Prioridad:1)</t>
  </si>
  <si>
    <t>INDA.02.AES.02.03</t>
  </si>
  <si>
    <t>INDA.03.AES.02.03</t>
  </si>
  <si>
    <t>INDA.02.AES.03.01</t>
  </si>
  <si>
    <t>INDA.02.AES.03.02</t>
  </si>
  <si>
    <t>INDA.03.AES.03.02</t>
  </si>
  <si>
    <t>Desembarcaderos Pesqueros Artesanales (DPA) adecuados a las normas de habilitación sanitaria</t>
  </si>
  <si>
    <t>Porcentaje de Centros de producción acuícolas (CA) habilitadas sanitariamente</t>
  </si>
  <si>
    <t>Porcentaje de Embarcaciones Pesqueras Artesanales habilitadas sanitariamente</t>
  </si>
  <si>
    <t>AES.03.05</t>
  </si>
  <si>
    <t>INDA.01.AES.03.05</t>
  </si>
  <si>
    <t>AES.03.06</t>
  </si>
  <si>
    <t>INDA.01.AES.03.06</t>
  </si>
  <si>
    <t>INDA.02.AES.03.06</t>
  </si>
  <si>
    <t>AES.03.07</t>
  </si>
  <si>
    <t>INDA.01.AES.03.07</t>
  </si>
  <si>
    <t>Volumen de cosecha de la acuicultura (Miles de TM).</t>
  </si>
  <si>
    <t>Número de dispositivos legales para el ordenamiento de las actividades pesqueras y acuícolas aprobadas.</t>
  </si>
  <si>
    <t>Cobertura de supervisión y fiscalización de las actividades pesqueras y acuícolas.</t>
  </si>
  <si>
    <t>Consumo per cápita de pescados y mariscos (Cantidad total anual en kilogramos de productos hidrobiológicos consumida e el hogar respecto a la cantidad total de miembros del hogar)</t>
  </si>
  <si>
    <t>Promover el desarrollo sostenible de la acuicultura. (Prioridad:1)</t>
  </si>
  <si>
    <t>PROMOVER EL ORDENAMIENTO DE LA PESCA Y ACUICULTURA HACIENDO USO SOSTENIBLE DE LOS RECURSOS HIDROBIOLÓGICOS (Prioridad:1)</t>
  </si>
  <si>
    <t>PROMOVER EL COMERCIO INTERNO DE PRODUCTOS HIDROBIOLÓGICOS. (Prioridad:1)</t>
  </si>
  <si>
    <t>Gasto en investigación, desarrollo e innovación en el sector pesca y acuicultura (miles de soles)</t>
  </si>
  <si>
    <t>Porcentaje de unidades económicas del sector pesca y acuicultura con acceso al financiamiento</t>
  </si>
  <si>
    <t>Porcentaje de embarcaciones pesqueras artesanales formalizados</t>
  </si>
  <si>
    <t>Porcentaje de centros de producción acuícolas formalizados</t>
  </si>
  <si>
    <t>PROMOVER LA FORMALIZACIÓN DE LA ACTIVIDAD PESQUERA ARTESANAL Y ACUÍCOLA. (Prioridad:1)</t>
  </si>
  <si>
    <t>MEJORAR LOS ESTÁNDARES DE SANIDAD E INOCUIDAD DE LOS PRODUCTOS DE ORIGEN PESQUERO Y ACUÍCOLA (Prioridad:1)</t>
  </si>
  <si>
    <t>PROMOVER EL ACCESO AL FINANCIAMIENTO DE LAS UNIDADES ECONÓMICAS DE LA PESCA ARTESANAL Y ACUICULTURA (Prioridad:1)</t>
  </si>
  <si>
    <t>PROMOVER LA INNOVACIÓN EN PESCA Y LA ACUICULTURA (Prioridad:1)</t>
  </si>
  <si>
    <t>Producto Bruto Interno de la Actividad: Pesca y Acuicultura (Expresado en millones de soles constantes al 2007)</t>
  </si>
  <si>
    <t>Participación de las MIPYME exportadoras que acceden a mercados internacionales.</t>
  </si>
  <si>
    <t>Porcentaje de Micro y Pequeñas (MYPE) formales con acceso a la digitalización.</t>
  </si>
  <si>
    <t>Porcentaje pequeñas y medianas empresas que implementan buenas prácticas ambientales y tecnologías limpias.</t>
  </si>
  <si>
    <t>PROMOVER EL ACCESO A NUEVOS MERCADOS DE LAS MIPYME Y MODALIDADES ASOCIATIVAS. (Prioridad:1)</t>
  </si>
  <si>
    <t>Porcentaje de MIPYME con acceso al Sistema Financiero.</t>
  </si>
  <si>
    <t>PROMOVER EL ACCESO AL MERCADO FINANCIERO DE LAS MIPYME Y MODALIDADES ASOCIATIVAS. (Prioridad:1)</t>
  </si>
  <si>
    <t>Porcentaje de MYPE formalizadas</t>
  </si>
  <si>
    <t>FACILITAR LA FORMALIZACIÓN DE LAS MYPE. (Prioridad:1)</t>
  </si>
  <si>
    <t>Volumen de producción de las MIPYME (millones de S/.)</t>
  </si>
  <si>
    <t>Índice de infraestructura de calidad</t>
  </si>
  <si>
    <t>PROMOVER ESTÁNDARES DE CALIDAD EN LAS EMPRESAS. (Prioridad:1)</t>
  </si>
  <si>
    <t>Porcentaje de empresas que realizan gasto en investigación y desarrollo I+D</t>
  </si>
  <si>
    <t>INCENTIVAR LA INNOVACIÓN PRODUCTIVA EN LAS EMPRESAS. (Prioridad:1)</t>
  </si>
  <si>
    <t>Porcentaje de participación de las exportaciones de productos de media y alta tecnología en las exportaciones manufactureras</t>
  </si>
  <si>
    <t>PROMOVER EL USO DE TECNOLOGÍAS PRODUCTIVAS MEJORADAS EN LAS EMPRESAS. (Prioridad:1)</t>
  </si>
  <si>
    <t>Volumen de exportaciones de productos manufacturados de mediana y alta tecnología (Millones de US$-FOB)</t>
  </si>
  <si>
    <t>001086-MINISTERIO DE LA PRODUCCION</t>
  </si>
  <si>
    <t>02.12-OFICINA GENERAL DE EVALUACIÓN DE IMPACTO Y ESTUDIOS ECONÓMICOS</t>
  </si>
  <si>
    <t>001632-ADMINISTRACION - INACAL</t>
  </si>
  <si>
    <t>02.02.01-SECRETARIA GENERAL</t>
  </si>
  <si>
    <t>04.04-DIRECCIÓN GENERAL DE PESCA ARTESANAL</t>
  </si>
  <si>
    <t>04.05-DIRECCIÓN GENERAL DE ACUICULTURA</t>
  </si>
  <si>
    <t>001588-ADMINISTRACION -SERVICIO NACIONAL DE SANIDAD PESQUERA-SANIPES</t>
  </si>
  <si>
    <t>04.01-GERENCIA GENERAL</t>
  </si>
  <si>
    <t>000192-FONDO NACIONAL DE DESARROLLO PESQUERO-FONDEPES</t>
  </si>
  <si>
    <t>01.06-DIRECCIÓN GENERAL DE PROYECTOS Y GESTIÓN FINANCIERA PARA EL DESARROLLO PESQUERO ARTESANAL Y ACUÍCOLA</t>
  </si>
  <si>
    <t>04.02-DIRECCIÓN GENERAL DE POLÍTICAS Y ANÁLISIS REGULATORIO EN PESCA Y ACUICULTURA</t>
  </si>
  <si>
    <t>04.06-DIRECCIÓN GENERAL DE SUPERVISIÓN, FISCALIZACIÓN Y SANCIÓN</t>
  </si>
  <si>
    <t>Cantidad</t>
  </si>
  <si>
    <t>Índice</t>
  </si>
  <si>
    <t xml:space="preserve">La pestaña "1." contiene el formato del Reporte de Seguimiento del Pesem correspondiente al año 2022. En detalle, se se debe completar los campos de sentido esperado, tipo de agregación del indicador y valores obtenidos de los indicadores de objetivos y acciones estratégicas sectoriales. Los cálculos de avance tipo 1 se obtienen de manera automática tras registrar los campos.
</t>
  </si>
  <si>
    <r>
      <t xml:space="preserve">• El avance de los objetivos y acciones es "ND" por defecto hasta que se registre los datos de sus indicadores.
• </t>
    </r>
    <r>
      <rPr>
        <b/>
        <sz val="14"/>
        <rFont val="Arial Narrow"/>
        <family val="2"/>
      </rPr>
      <t>En el caso no se cuente con información de algún indicador (valor obtenido), se deberá registrar como "ND".</t>
    </r>
    <r>
      <rPr>
        <sz val="14"/>
        <rFont val="Arial Narrow"/>
        <family val="2"/>
      </rPr>
      <t xml:space="preserve">
• Se sugiere revisar que el formato numérico de los logros esperados y los valores obtenidos sea equivalente. Por ejemplo, si un logro esperado con parámetro de medición tipo porcentaje fue registrado como "0.75", mientras que el valor obtenido como "78%" o "78", ocasionará que el cálculo del avance sea erróneo. En esos casos, se pide homogenizar el formato numérico.  
•  En caso de dudas al completar el Reporte de Seguimiento Pesem 2022, se recomienda revisar la Guía para el seguimiento y evaluación de políticas nacionales y planes del Sinaplan (actualizada) disponible en:  https://www.gob.pe/institucion/ceplan/informes-publicaciones/1749138-guia-para-el-seguimiento-y-evaluacion-de-politicas-nacionales-y-planes-del-sinaplan  </t>
    </r>
  </si>
  <si>
    <t>Alertas identificadas:</t>
  </si>
  <si>
    <t>TABLA RESUMEN: semaforización por nivel de avance </t>
  </si>
  <si>
    <t>Año: 2022</t>
  </si>
  <si>
    <t>[0%-75%&gt;</t>
  </si>
  <si>
    <t>[75%-95%&gt;</t>
  </si>
  <si>
    <t>≥95%</t>
  </si>
  <si>
    <t>Objetivos estratégicos sectoriales</t>
  </si>
  <si>
    <t>Indicadores de objetivos estratégicos sectoriales</t>
  </si>
  <si>
    <t>Acciones estratégicas sectoriales</t>
  </si>
  <si>
    <t>Indicadores de acciones estratégicas sectoriales</t>
  </si>
  <si>
    <t>REPORTE DE SEGUIMIENTO DEL PLAN ESTRATÉGICO MULTIANUAL (PESEM)</t>
  </si>
  <si>
    <t>PERIODO 2022</t>
  </si>
  <si>
    <r>
      <t xml:space="preserve">Nivel de Gobierno : </t>
    </r>
    <r>
      <rPr>
        <sz val="12"/>
        <color theme="1"/>
        <rFont val="Arial Narrow"/>
        <family val="2"/>
      </rPr>
      <t>GOBIERNO NACIONAL</t>
    </r>
  </si>
  <si>
    <r>
      <t xml:space="preserve">Pliego : </t>
    </r>
    <r>
      <rPr>
        <sz val="12"/>
        <color theme="1"/>
        <rFont val="Arial Narrow"/>
        <family val="2"/>
      </rPr>
      <t>38- PRODUCCIÓN</t>
    </r>
  </si>
  <si>
    <r>
      <t xml:space="preserve">Periodo del plan : PESEM </t>
    </r>
    <r>
      <rPr>
        <sz val="12"/>
        <color theme="1"/>
        <rFont val="Arial Narrow"/>
        <family val="2"/>
      </rPr>
      <t>2017 - 2025</t>
    </r>
  </si>
  <si>
    <t>Respecto a AES.02.03, de acuerdo al registro de exportaciones de SUNAT, en el 2022 se estima un 20.4% de participación de las MIPYME que acceden a nuevos mercados internacionales como porcentaje del total de MIPYME exportadoras (de acuerdo a ficha técnica), cifra menor a lo registrado en el año 2021. Este menor porcentaje esta  relacionado al contexto internacional desfavorable, caracterizado por interrupciones del comercio internacional por problemas en las cadenas de suministro y a las presiones inflacionarias registradas en las principales economías.</t>
  </si>
  <si>
    <t>Respecto a la AES.03.04, que se estima el 93% de cumplimiento con lo programado, Este menor porcentaje se debe a que las empresas priorizaron la fase de reactivación que le permita operar a niveles de prepandemia.</t>
  </si>
  <si>
    <t>Respecto a la AES.01.01, el resultado del indicador en el año 2022 es menor al proyectado debido a que el total de exportaciones manufactureras (denominador), crecio en mayor proporción que el total de exportaciones de productos manufacturados de mediana y alta tecnología, reduciéndose por tanto el valor del indicador. Cabe indicar que este indicador fue estimado con base en el registro de SUNAT para el año 2022.</t>
  </si>
  <si>
    <t>Respecto al OES.02, considerando los datos publicados por el INEI respecto al PBI a precios constantes, y el registro de volumen de ventas de la SUNAT, se estima que el año 2022 el volumen de la producción de las MIPYME fue de S/ 122,700 millones, cifra menor a lo registrado en el año 2021 (S/. 137,500).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</si>
</sst>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Arial Narrow"/>
      <family val="2"/>
    </font>
    <font>
      <b/>
      <sz val="12"/>
      <color theme="1"/>
      <name val="Arial"/>
      <family val="2"/>
    </font>
    <font>
      <sz val="12"/>
      <color theme="1"/>
      <name val="Arial"/>
      <family val="2"/>
    </font>
    <font>
      <sz val="16"/>
      <color theme="1"/>
      <name val="Calibri"/>
      <family val="2"/>
      <scheme val="minor"/>
    </font>
    <font>
      <sz val="9"/>
      <color theme="1"/>
      <name val="Arial Narrow"/>
      <family val="2"/>
    </font>
    <font>
      <sz val="10"/>
      <name val="Arial Narrow"/>
      <family val="2"/>
    </font>
    <font>
      <b/>
      <sz val="10"/>
      <color theme="1"/>
      <name val="Calibri"/>
      <family val="2"/>
      <scheme val="minor"/>
    </font>
    <font>
      <sz val="11"/>
      <color rgb="FFC00000"/>
      <name val="Calibri"/>
      <family val="2"/>
      <scheme val="minor"/>
    </font>
    <font>
      <sz val="10"/>
      <name val="Calibri"/>
      <family val="2"/>
      <scheme val="minor"/>
    </font>
    <font>
      <b/>
      <sz val="12"/>
      <name val="Arial Narrow"/>
      <family val="2"/>
    </font>
    <font>
      <sz val="12"/>
      <name val="Calibri"/>
      <family val="2"/>
      <scheme val="minor"/>
    </font>
    <font>
      <sz val="12"/>
      <name val="Arial Narrow"/>
      <family val="2"/>
    </font>
    <font>
      <sz val="20"/>
      <name val="Calibri Light"/>
      <family val="2"/>
      <scheme val="major"/>
    </font>
    <font>
      <sz val="14"/>
      <color theme="1"/>
      <name val="Calibri"/>
      <family val="2"/>
      <scheme val="minor"/>
    </font>
    <font>
      <sz val="22"/>
      <name val="Corbel"/>
      <family val="2"/>
    </font>
    <font>
      <sz val="20"/>
      <name val="Arial Narrow"/>
      <family val="2"/>
    </font>
    <font>
      <b/>
      <sz val="24"/>
      <color theme="0"/>
      <name val="Arial Narrow"/>
      <family val="2"/>
    </font>
    <font>
      <sz val="20"/>
      <color theme="8" tint="0.59999389629810485"/>
      <name val="Arial Narrow"/>
      <family val="2"/>
    </font>
    <font>
      <b/>
      <sz val="22"/>
      <name val="Arial Narrow"/>
      <family val="2"/>
    </font>
    <font>
      <sz val="14"/>
      <name val="Arial Narrow"/>
      <family val="2"/>
    </font>
    <font>
      <b/>
      <sz val="14"/>
      <name val="Arial Narrow"/>
      <family val="2"/>
    </font>
    <font>
      <sz val="11"/>
      <name val="Arial Narrow"/>
      <family val="2"/>
    </font>
    <font>
      <i/>
      <sz val="10"/>
      <name val="Calibri"/>
      <family val="2"/>
      <scheme val="minor"/>
    </font>
    <font>
      <sz val="11"/>
      <color theme="1"/>
      <name val="Arial Narrow"/>
      <family val="2"/>
    </font>
    <font>
      <b/>
      <sz val="16"/>
      <color theme="1"/>
      <name val="Arial Narrow"/>
      <family val="2"/>
    </font>
    <font>
      <sz val="16"/>
      <color theme="1"/>
      <name val="Arial Narrow"/>
      <family val="2"/>
    </font>
    <font>
      <b/>
      <sz val="16"/>
      <color rgb="FF000000"/>
      <name val="Arial Narrow"/>
      <family val="2"/>
    </font>
    <font>
      <sz val="16"/>
      <name val="Arial Narrow"/>
      <family val="2"/>
    </font>
    <font>
      <b/>
      <sz val="12"/>
      <color rgb="FF000000"/>
      <name val="Arial Narrow"/>
      <family val="2"/>
    </font>
    <font>
      <b/>
      <sz val="12"/>
      <color rgb="FFFFFFFF"/>
      <name val="Arial Narrow"/>
      <family val="2"/>
    </font>
    <font>
      <sz val="12"/>
      <color theme="1"/>
      <name val="Calibri"/>
      <family val="2"/>
      <scheme val="minor"/>
    </font>
    <font>
      <sz val="12"/>
      <color theme="0"/>
      <name val="Calibri"/>
      <family val="2"/>
      <scheme val="minor"/>
    </font>
    <font>
      <sz val="12"/>
      <color rgb="FFC00000"/>
      <name val="Calibri"/>
      <family val="2"/>
      <scheme val="minor"/>
    </font>
    <font>
      <b/>
      <sz val="12"/>
      <color theme="0"/>
      <name val="Arial Narrow"/>
      <family val="2"/>
    </font>
    <font>
      <sz val="12"/>
      <color theme="1"/>
      <name val="Arial Narrow"/>
      <family val="2"/>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0"/>
        <bgColor indexed="64"/>
      </patternFill>
    </fill>
    <fill>
      <patternFill patternType="solid">
        <fgColor rgb="FF00AD9A"/>
        <bgColor indexed="64"/>
      </patternFill>
    </fill>
    <fill>
      <patternFill patternType="solid">
        <fgColor theme="6" tint="0.59999389629810485"/>
        <bgColor indexed="64"/>
      </patternFill>
    </fill>
    <fill>
      <patternFill patternType="solid">
        <fgColor rgb="FF008172"/>
        <bgColor indexed="64"/>
      </patternFill>
    </fill>
    <fill>
      <patternFill patternType="solid">
        <fgColor rgb="FF008080"/>
        <bgColor indexed="64"/>
      </patternFill>
    </fill>
    <fill>
      <patternFill patternType="solid">
        <fgColor rgb="FF54B690"/>
        <bgColor indexed="64"/>
      </patternFill>
    </fill>
    <fill>
      <patternFill patternType="solid">
        <fgColor theme="8" tint="-0.249977111117893"/>
        <bgColor indexed="64"/>
      </patternFill>
    </fill>
    <fill>
      <patternFill patternType="solid">
        <fgColor rgb="FFFC3030"/>
        <bgColor indexed="64"/>
      </patternFill>
    </fill>
    <fill>
      <patternFill patternType="solid">
        <fgColor rgb="FFFFC000"/>
        <bgColor indexed="64"/>
      </patternFill>
    </fill>
    <fill>
      <patternFill patternType="solid">
        <fgColor rgb="FF00B050"/>
        <bgColor indexed="64"/>
      </patternFill>
    </fill>
    <fill>
      <patternFill patternType="solid">
        <fgColor rgb="FFCEE5C1"/>
        <bgColor indexed="64"/>
      </patternFill>
    </fill>
    <fill>
      <patternFill patternType="solid">
        <fgColor rgb="FFE7F9F9"/>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indexed="64"/>
      </right>
      <top style="medium">
        <color rgb="FFFFFFFF"/>
      </top>
      <bottom style="medium">
        <color rgb="FFFFFFFF"/>
      </bottom>
      <diagonal/>
    </border>
    <border>
      <left/>
      <right style="medium">
        <color rgb="FFFFFFFF"/>
      </right>
      <top style="medium">
        <color rgb="FFFFFFFF"/>
      </top>
      <bottom style="medium">
        <color rgb="FF000000"/>
      </bottom>
      <diagonal/>
    </border>
    <border>
      <left style="medium">
        <color rgb="FFFFFFFF"/>
      </left>
      <right style="medium">
        <color rgb="FFFFFFFF"/>
      </right>
      <top style="medium">
        <color rgb="FFFFFFFF"/>
      </top>
      <bottom style="medium">
        <color rgb="FF000000"/>
      </bottom>
      <diagonal/>
    </border>
    <border>
      <left style="medium">
        <color rgb="FFFFFFFF"/>
      </left>
      <right/>
      <top style="medium">
        <color rgb="FFFFFFFF"/>
      </top>
      <bottom style="medium">
        <color indexed="64"/>
      </bottom>
      <diagonal/>
    </border>
    <border>
      <left style="medium">
        <color rgb="FFFFFFFF"/>
      </left>
      <right style="medium">
        <color indexed="64"/>
      </right>
      <top style="medium">
        <color rgb="FFFFFFFF"/>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rgb="FF000000"/>
      </top>
      <bottom style="medium">
        <color rgb="FFFFFFFF"/>
      </bottom>
      <diagonal/>
    </border>
    <border>
      <left style="medium">
        <color rgb="FFFFFFFF"/>
      </left>
      <right style="medium">
        <color rgb="FFFFFFFF"/>
      </right>
      <top/>
      <bottom style="medium">
        <color rgb="FFFFFFFF"/>
      </bottom>
      <diagonal/>
    </border>
    <border>
      <left style="medium">
        <color rgb="FFFFFFFF"/>
      </left>
      <right/>
      <top/>
      <bottom style="medium">
        <color rgb="FFFFFFFF"/>
      </bottom>
      <diagonal/>
    </border>
    <border>
      <left style="medium">
        <color rgb="FFFFFFFF"/>
      </left>
      <right style="medium">
        <color indexed="64"/>
      </right>
      <top/>
      <bottom style="medium">
        <color rgb="FFFFFFFF"/>
      </bottom>
      <diagonal/>
    </border>
    <border>
      <left/>
      <right/>
      <top style="medium">
        <color rgb="FF000000"/>
      </top>
      <bottom style="medium">
        <color rgb="FF000000"/>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1" fillId="0" borderId="0" applyNumberFormat="0" applyFill="0" applyAlignment="0" applyProtection="0"/>
  </cellStyleXfs>
  <cellXfs count="153">
    <xf numFmtId="0" fontId="0" fillId="0" borderId="0" xfId="0"/>
    <xf numFmtId="0" fontId="17" fillId="0" borderId="0" xfId="0" applyFont="1" applyProtection="1">
      <protection hidden="1"/>
    </xf>
    <xf numFmtId="0" fontId="19" fillId="0" borderId="0" xfId="0" applyFont="1" applyAlignment="1" applyProtection="1">
      <alignment vertical="center"/>
      <protection hidden="1"/>
    </xf>
    <xf numFmtId="0" fontId="24" fillId="0" borderId="0" xfId="0" applyFont="1"/>
    <xf numFmtId="0" fontId="22" fillId="0" borderId="17" xfId="0" applyFont="1" applyBorder="1" applyAlignment="1">
      <alignment horizontal="left" vertical="center"/>
    </xf>
    <xf numFmtId="0" fontId="25" fillId="0" borderId="0" xfId="0" applyFont="1" applyProtection="1">
      <protection hidden="1"/>
    </xf>
    <xf numFmtId="0" fontId="26" fillId="0" borderId="0" xfId="0" applyFont="1" applyAlignment="1">
      <alignment vertical="top"/>
    </xf>
    <xf numFmtId="0" fontId="27" fillId="0" borderId="0" xfId="0" applyFont="1" applyAlignment="1">
      <alignment vertical="top"/>
    </xf>
    <xf numFmtId="0" fontId="28" fillId="0" borderId="0" xfId="0" applyFont="1"/>
    <xf numFmtId="0" fontId="26" fillId="0" borderId="0" xfId="0" applyFont="1"/>
    <xf numFmtId="0" fontId="29" fillId="0" borderId="0" xfId="0" applyFont="1" applyAlignment="1">
      <alignment vertical="top"/>
    </xf>
    <xf numFmtId="0" fontId="30" fillId="0" borderId="0" xfId="0" applyFont="1"/>
    <xf numFmtId="0" fontId="32" fillId="0" borderId="0" xfId="42" applyFont="1" applyFill="1" applyAlignment="1">
      <alignment vertical="center"/>
    </xf>
    <xf numFmtId="0" fontId="33" fillId="40" borderId="0" xfId="0" applyFont="1" applyFill="1"/>
    <xf numFmtId="0" fontId="33" fillId="33" borderId="0" xfId="0" applyFont="1" applyFill="1"/>
    <xf numFmtId="0" fontId="35" fillId="33" borderId="0" xfId="0" applyFont="1" applyFill="1"/>
    <xf numFmtId="0" fontId="36" fillId="33" borderId="0" xfId="42" applyFont="1" applyFill="1" applyAlignment="1">
      <alignment vertical="center"/>
    </xf>
    <xf numFmtId="0" fontId="23" fillId="33" borderId="0" xfId="0" applyFont="1" applyFill="1"/>
    <xf numFmtId="0" fontId="39" fillId="33" borderId="0" xfId="0" applyFont="1" applyFill="1" applyAlignment="1">
      <alignment wrapText="1"/>
    </xf>
    <xf numFmtId="0" fontId="40" fillId="0" borderId="0" xfId="0" applyFont="1"/>
    <xf numFmtId="0" fontId="0" fillId="0" borderId="0" xfId="0" applyProtection="1">
      <protection hidden="1"/>
    </xf>
    <xf numFmtId="0" fontId="21" fillId="0" borderId="0" xfId="0" applyFont="1" applyProtection="1">
      <protection hidden="1"/>
    </xf>
    <xf numFmtId="0" fontId="20" fillId="0" borderId="0" xfId="0" applyFont="1" applyProtection="1">
      <protection hidden="1"/>
    </xf>
    <xf numFmtId="0" fontId="21" fillId="34" borderId="0" xfId="0" applyFont="1" applyFill="1" applyProtection="1">
      <protection hidden="1"/>
    </xf>
    <xf numFmtId="0" fontId="41" fillId="34" borderId="0" xfId="0" applyFont="1" applyFill="1" applyProtection="1">
      <protection locked="0"/>
    </xf>
    <xf numFmtId="0" fontId="41" fillId="34" borderId="0" xfId="0" applyFont="1" applyFill="1" applyAlignment="1" applyProtection="1">
      <alignment horizontal="left"/>
      <protection locked="0"/>
    </xf>
    <xf numFmtId="0" fontId="42" fillId="34" borderId="18" xfId="0" applyFont="1" applyFill="1" applyBorder="1" applyProtection="1">
      <protection locked="0"/>
    </xf>
    <xf numFmtId="0" fontId="41" fillId="34" borderId="19" xfId="0" applyFont="1" applyFill="1" applyBorder="1" applyProtection="1">
      <protection locked="0"/>
    </xf>
    <xf numFmtId="0" fontId="41" fillId="34" borderId="20" xfId="0" applyFont="1" applyFill="1" applyBorder="1" applyProtection="1">
      <protection locked="0"/>
    </xf>
    <xf numFmtId="0" fontId="41" fillId="34" borderId="0" xfId="0" applyFont="1" applyFill="1"/>
    <xf numFmtId="0" fontId="41" fillId="0" borderId="0" xfId="0" applyFont="1" applyProtection="1">
      <protection locked="0"/>
    </xf>
    <xf numFmtId="0" fontId="42" fillId="34" borderId="0" xfId="0" applyFont="1" applyFill="1" applyProtection="1">
      <protection locked="0"/>
    </xf>
    <xf numFmtId="0" fontId="43" fillId="34" borderId="0" xfId="0" applyFont="1" applyFill="1" applyProtection="1">
      <protection locked="0"/>
    </xf>
    <xf numFmtId="0" fontId="41" fillId="34" borderId="21" xfId="0" applyFont="1" applyFill="1" applyBorder="1" applyProtection="1">
      <protection locked="0"/>
    </xf>
    <xf numFmtId="0" fontId="41" fillId="34" borderId="22" xfId="0" applyFont="1" applyFill="1" applyBorder="1" applyProtection="1">
      <protection locked="0"/>
    </xf>
    <xf numFmtId="0" fontId="41" fillId="34" borderId="26" xfId="0" applyFont="1" applyFill="1" applyBorder="1" applyProtection="1">
      <protection locked="0"/>
    </xf>
    <xf numFmtId="0" fontId="41" fillId="34" borderId="27" xfId="0" applyFont="1" applyFill="1" applyBorder="1" applyProtection="1">
      <protection locked="0"/>
    </xf>
    <xf numFmtId="0" fontId="41" fillId="34" borderId="28" xfId="0" applyFont="1" applyFill="1" applyBorder="1" applyProtection="1">
      <protection locked="0"/>
    </xf>
    <xf numFmtId="0" fontId="44" fillId="34" borderId="29" xfId="0" applyFont="1" applyFill="1" applyBorder="1" applyAlignment="1" applyProtection="1">
      <alignment horizontal="left" vertical="center" wrapText="1" indent="1" readingOrder="1"/>
      <protection locked="0"/>
    </xf>
    <xf numFmtId="0" fontId="44" fillId="45" borderId="29" xfId="0" applyFont="1" applyFill="1" applyBorder="1" applyAlignment="1" applyProtection="1">
      <alignment horizontal="left" vertical="center" wrapText="1" indent="1" readingOrder="1"/>
      <protection locked="0"/>
    </xf>
    <xf numFmtId="0" fontId="45" fillId="45" borderId="30" xfId="0" applyFont="1" applyFill="1" applyBorder="1" applyAlignment="1">
      <alignment horizontal="center" vertical="top" wrapText="1"/>
    </xf>
    <xf numFmtId="0" fontId="45" fillId="45" borderId="31" xfId="0" applyFont="1" applyFill="1" applyBorder="1" applyAlignment="1">
      <alignment horizontal="center" vertical="center" wrapText="1"/>
    </xf>
    <xf numFmtId="0" fontId="45" fillId="45" borderId="32" xfId="0" applyFont="1" applyFill="1" applyBorder="1" applyAlignment="1">
      <alignment horizontal="center" vertical="center" wrapText="1"/>
    </xf>
    <xf numFmtId="0" fontId="44" fillId="34" borderId="33" xfId="0" applyFont="1" applyFill="1" applyBorder="1" applyAlignment="1" applyProtection="1">
      <alignment horizontal="left" vertical="center" wrapText="1" indent="1" readingOrder="1"/>
      <protection locked="0"/>
    </xf>
    <xf numFmtId="0" fontId="45" fillId="34" borderId="34" xfId="0" applyFont="1" applyFill="1" applyBorder="1" applyAlignment="1">
      <alignment horizontal="center" vertical="top" wrapText="1"/>
    </xf>
    <xf numFmtId="0" fontId="45" fillId="0" borderId="35" xfId="0" applyFont="1" applyBorder="1" applyAlignment="1">
      <alignment horizontal="center" vertical="center" wrapText="1"/>
    </xf>
    <xf numFmtId="0" fontId="45" fillId="0" borderId="36" xfId="0" applyFont="1" applyBorder="1" applyAlignment="1">
      <alignment horizontal="center" vertical="center" wrapText="1"/>
    </xf>
    <xf numFmtId="0" fontId="41" fillId="34" borderId="37" xfId="0" applyFont="1" applyFill="1" applyBorder="1" applyProtection="1">
      <protection locked="0"/>
    </xf>
    <xf numFmtId="0" fontId="41" fillId="34" borderId="38" xfId="0" applyFont="1" applyFill="1" applyBorder="1" applyProtection="1">
      <protection locked="0"/>
    </xf>
    <xf numFmtId="0" fontId="41" fillId="34" borderId="39" xfId="0" applyFont="1" applyFill="1" applyBorder="1" applyProtection="1">
      <protection locked="0"/>
    </xf>
    <xf numFmtId="0" fontId="47" fillId="37" borderId="11" xfId="0" applyFont="1" applyFill="1" applyBorder="1" applyAlignment="1" applyProtection="1">
      <alignment horizontal="center" vertical="center" wrapText="1"/>
      <protection hidden="1"/>
    </xf>
    <xf numFmtId="0" fontId="48" fillId="0" borderId="0" xfId="0" applyFont="1" applyProtection="1">
      <protection hidden="1"/>
    </xf>
    <xf numFmtId="0" fontId="49" fillId="0" borderId="0" xfId="0" applyFont="1" applyProtection="1">
      <protection hidden="1"/>
    </xf>
    <xf numFmtId="0" fontId="50" fillId="0" borderId="0" xfId="0" applyFont="1" applyProtection="1">
      <protection hidden="1"/>
    </xf>
    <xf numFmtId="0" fontId="46" fillId="35" borderId="11" xfId="0" applyFont="1" applyFill="1" applyBorder="1" applyAlignment="1" applyProtection="1">
      <alignment horizontal="center" vertical="center" wrapText="1"/>
      <protection hidden="1"/>
    </xf>
    <xf numFmtId="0" fontId="48" fillId="34" borderId="0" xfId="0" applyFont="1" applyFill="1" applyProtection="1">
      <protection hidden="1"/>
    </xf>
    <xf numFmtId="0" fontId="51" fillId="38" borderId="11" xfId="0" applyFont="1" applyFill="1" applyBorder="1" applyAlignment="1" applyProtection="1">
      <alignment horizontal="left" vertical="center"/>
      <protection hidden="1"/>
    </xf>
    <xf numFmtId="0" fontId="51" fillId="38" borderId="11" xfId="0" applyFont="1" applyFill="1" applyBorder="1" applyAlignment="1" applyProtection="1">
      <alignment horizontal="center" vertical="center"/>
      <protection hidden="1"/>
    </xf>
    <xf numFmtId="0" fontId="27" fillId="0" borderId="11" xfId="0" applyFont="1" applyBorder="1" applyAlignment="1" applyProtection="1">
      <alignment horizontal="center" vertical="center"/>
      <protection hidden="1"/>
    </xf>
    <xf numFmtId="0" fontId="52" fillId="35" borderId="11" xfId="0" applyFont="1" applyFill="1" applyBorder="1" applyAlignment="1" applyProtection="1">
      <alignment vertical="center"/>
      <protection hidden="1"/>
    </xf>
    <xf numFmtId="164" fontId="52" fillId="0" borderId="11" xfId="0" applyNumberFormat="1" applyFont="1" applyBorder="1" applyAlignment="1" applyProtection="1">
      <alignment horizontal="center" vertical="center"/>
      <protection hidden="1"/>
    </xf>
    <xf numFmtId="0" fontId="51" fillId="39" borderId="11" xfId="0" applyFont="1" applyFill="1" applyBorder="1" applyAlignment="1" applyProtection="1">
      <alignment vertical="center"/>
      <protection hidden="1"/>
    </xf>
    <xf numFmtId="0" fontId="29" fillId="35" borderId="11" xfId="0" applyFont="1" applyFill="1" applyBorder="1" applyAlignment="1" applyProtection="1">
      <alignment horizontal="left" vertical="center"/>
      <protection hidden="1"/>
    </xf>
    <xf numFmtId="0" fontId="29" fillId="0" borderId="11" xfId="0" applyFont="1" applyBorder="1" applyAlignment="1" applyProtection="1">
      <alignment horizontal="left" vertical="center"/>
      <protection hidden="1"/>
    </xf>
    <xf numFmtId="0" fontId="29" fillId="0" borderId="11" xfId="0" applyFont="1" applyBorder="1" applyAlignment="1" applyProtection="1">
      <alignment horizontal="center" vertical="center"/>
      <protection hidden="1"/>
    </xf>
    <xf numFmtId="164" fontId="29" fillId="0" borderId="11" xfId="0" applyNumberFormat="1" applyFont="1" applyBorder="1" applyAlignment="1" applyProtection="1">
      <alignment horizontal="center" vertical="center"/>
      <protection hidden="1"/>
    </xf>
    <xf numFmtId="0" fontId="29" fillId="0" borderId="11" xfId="0" applyFont="1" applyBorder="1" applyAlignment="1" applyProtection="1">
      <alignment horizontal="left" vertical="center" wrapText="1"/>
      <protection hidden="1"/>
    </xf>
    <xf numFmtId="0" fontId="0" fillId="0" borderId="0" xfId="0" applyAlignment="1" applyProtection="1">
      <alignment horizontal="center" vertical="center"/>
      <protection hidden="1"/>
    </xf>
    <xf numFmtId="0" fontId="21" fillId="0" borderId="0" xfId="0" applyFont="1" applyAlignment="1" applyProtection="1">
      <alignment horizontal="center" vertical="center"/>
      <protection hidden="1"/>
    </xf>
    <xf numFmtId="0" fontId="41" fillId="34" borderId="0" xfId="0" applyFont="1" applyFill="1" applyAlignment="1" applyProtection="1">
      <alignment horizontal="center" vertical="center"/>
      <protection locked="0"/>
    </xf>
    <xf numFmtId="0" fontId="43" fillId="34" borderId="0" xfId="0" applyFont="1" applyFill="1" applyAlignment="1" applyProtection="1">
      <alignment horizontal="center" vertical="center"/>
      <protection locked="0"/>
    </xf>
    <xf numFmtId="0" fontId="44" fillId="44" borderId="40" xfId="0" applyFont="1" applyFill="1" applyBorder="1" applyAlignment="1" applyProtection="1">
      <alignment horizontal="left" vertical="center" wrapText="1" indent="1" readingOrder="1"/>
      <protection locked="0"/>
    </xf>
    <xf numFmtId="0" fontId="45" fillId="0" borderId="41" xfId="0" applyFont="1" applyBorder="1" applyAlignment="1">
      <alignment horizontal="center" vertical="center" wrapText="1"/>
    </xf>
    <xf numFmtId="0" fontId="45" fillId="0" borderId="42" xfId="0" applyFont="1" applyBorder="1" applyAlignment="1">
      <alignment horizontal="center" vertical="center" wrapText="1"/>
    </xf>
    <xf numFmtId="0" fontId="45" fillId="0" borderId="43" xfId="0" applyFont="1" applyBorder="1" applyAlignment="1">
      <alignment horizontal="center" vertical="center" wrapText="1"/>
    </xf>
    <xf numFmtId="0" fontId="43" fillId="33" borderId="0" xfId="0" applyFont="1" applyFill="1" applyAlignment="1" applyProtection="1">
      <alignment horizontal="center" vertical="center" wrapText="1"/>
      <protection hidden="1"/>
    </xf>
    <xf numFmtId="0" fontId="44" fillId="34" borderId="44" xfId="0" applyFont="1" applyFill="1" applyBorder="1" applyAlignment="1" applyProtection="1">
      <alignment horizontal="left" vertical="center" wrapText="1" indent="1" readingOrder="1"/>
      <protection locked="0"/>
    </xf>
    <xf numFmtId="0" fontId="44" fillId="41" borderId="45" xfId="0" applyFont="1" applyFill="1" applyBorder="1" applyAlignment="1" applyProtection="1">
      <alignment horizontal="center" vertical="center" wrapText="1" readingOrder="1"/>
      <protection locked="0"/>
    </xf>
    <xf numFmtId="0" fontId="44" fillId="42" borderId="46" xfId="0" applyFont="1" applyFill="1" applyBorder="1" applyAlignment="1" applyProtection="1">
      <alignment horizontal="center" vertical="center" wrapText="1" readingOrder="1"/>
      <protection locked="0"/>
    </xf>
    <xf numFmtId="0" fontId="44" fillId="43" borderId="46" xfId="0" applyFont="1" applyFill="1" applyBorder="1" applyAlignment="1" applyProtection="1">
      <alignment horizontal="center" vertical="center" wrapText="1" readingOrder="1"/>
      <protection locked="0"/>
    </xf>
    <xf numFmtId="0" fontId="44" fillId="0" borderId="46" xfId="0" applyFont="1" applyBorder="1" applyAlignment="1" applyProtection="1">
      <alignment horizontal="center" vertical="center" wrapText="1" readingOrder="1"/>
      <protection locked="0"/>
    </xf>
    <xf numFmtId="0" fontId="44" fillId="0" borderId="47" xfId="0" applyFont="1" applyBorder="1" applyAlignment="1" applyProtection="1">
      <alignment horizontal="center" vertical="center" wrapText="1" readingOrder="1"/>
      <protection locked="0"/>
    </xf>
    <xf numFmtId="0" fontId="44" fillId="0" borderId="48" xfId="0" applyFont="1" applyBorder="1" applyAlignment="1" applyProtection="1">
      <alignment horizontal="center" vertical="center" wrapText="1" readingOrder="1"/>
      <protection locked="0"/>
    </xf>
    <xf numFmtId="0" fontId="42" fillId="34" borderId="0" xfId="0" applyFont="1" applyFill="1" applyAlignment="1" applyProtection="1">
      <alignment horizontal="center" vertical="center"/>
      <protection locked="0"/>
    </xf>
    <xf numFmtId="0" fontId="18" fillId="34" borderId="0" xfId="0" applyFont="1" applyFill="1" applyAlignment="1" applyProtection="1">
      <alignment vertical="center"/>
      <protection locked="0"/>
    </xf>
    <xf numFmtId="0" fontId="18" fillId="34" borderId="0" xfId="0" applyFont="1" applyFill="1" applyAlignment="1" applyProtection="1">
      <alignment horizontal="left" vertical="center"/>
      <protection locked="0"/>
    </xf>
    <xf numFmtId="0" fontId="18" fillId="34" borderId="0" xfId="0" applyFont="1" applyFill="1" applyAlignment="1" applyProtection="1">
      <alignment horizontal="center" vertical="center"/>
      <protection locked="0"/>
    </xf>
    <xf numFmtId="0" fontId="51" fillId="39" borderId="13" xfId="0" applyFont="1" applyFill="1" applyBorder="1" applyAlignment="1" applyProtection="1">
      <alignment vertical="center"/>
      <protection hidden="1"/>
    </xf>
    <xf numFmtId="0" fontId="27" fillId="0" borderId="14" xfId="0" applyFont="1" applyBorder="1" applyAlignment="1" applyProtection="1">
      <alignment horizontal="center" vertical="center"/>
      <protection hidden="1"/>
    </xf>
    <xf numFmtId="0" fontId="52" fillId="0" borderId="10" xfId="0" applyFont="1" applyBorder="1" applyAlignment="1" applyProtection="1">
      <alignment horizontal="justify" vertical="center" wrapText="1"/>
      <protection hidden="1"/>
    </xf>
    <xf numFmtId="0" fontId="52" fillId="0" borderId="10" xfId="0" applyFont="1" applyBorder="1" applyAlignment="1" applyProtection="1">
      <alignment vertical="center" wrapText="1"/>
      <protection hidden="1"/>
    </xf>
    <xf numFmtId="0" fontId="52" fillId="0" borderId="10" xfId="0" applyFont="1" applyBorder="1" applyAlignment="1" applyProtection="1">
      <alignment horizontal="center" vertical="center"/>
      <protection hidden="1"/>
    </xf>
    <xf numFmtId="0" fontId="52" fillId="0" borderId="16" xfId="0" applyFont="1" applyBorder="1" applyAlignment="1" applyProtection="1">
      <alignment horizontal="justify" vertical="center" wrapText="1"/>
      <protection hidden="1"/>
    </xf>
    <xf numFmtId="0" fontId="52" fillId="0" borderId="16" xfId="0" applyFont="1" applyBorder="1" applyAlignment="1" applyProtection="1">
      <alignment horizontal="center" vertical="center"/>
      <protection hidden="1"/>
    </xf>
    <xf numFmtId="0" fontId="52" fillId="0" borderId="12" xfId="0" applyFont="1" applyBorder="1" applyAlignment="1" applyProtection="1">
      <alignment horizontal="justify" vertical="center" wrapText="1"/>
      <protection hidden="1"/>
    </xf>
    <xf numFmtId="0" fontId="52" fillId="0" borderId="12" xfId="0" applyFont="1" applyBorder="1" applyAlignment="1" applyProtection="1">
      <alignment vertical="center" wrapText="1"/>
      <protection hidden="1"/>
    </xf>
    <xf numFmtId="0" fontId="52" fillId="0" borderId="12" xfId="0" applyFont="1" applyBorder="1" applyAlignment="1" applyProtection="1">
      <alignment horizontal="center" vertical="center"/>
      <protection hidden="1"/>
    </xf>
    <xf numFmtId="0" fontId="52" fillId="0" borderId="16" xfId="0" applyFont="1" applyBorder="1" applyAlignment="1" applyProtection="1">
      <alignment wrapText="1"/>
      <protection hidden="1"/>
    </xf>
    <xf numFmtId="0" fontId="51" fillId="39" borderId="14" xfId="0" applyFont="1" applyFill="1" applyBorder="1" applyAlignment="1" applyProtection="1">
      <alignment horizontal="center" vertical="center"/>
      <protection hidden="1"/>
    </xf>
    <xf numFmtId="0" fontId="29" fillId="0" borderId="10" xfId="0" applyFont="1" applyBorder="1" applyAlignment="1" applyProtection="1">
      <alignment horizontal="left" vertical="center"/>
      <protection hidden="1"/>
    </xf>
    <xf numFmtId="0" fontId="29" fillId="0" borderId="10" xfId="0" applyFont="1" applyBorder="1" applyAlignment="1" applyProtection="1">
      <alignment horizontal="left" vertical="center" wrapText="1"/>
      <protection hidden="1"/>
    </xf>
    <xf numFmtId="0" fontId="29" fillId="0" borderId="10" xfId="0" applyFont="1" applyBorder="1" applyAlignment="1" applyProtection="1">
      <alignment horizontal="center" vertical="center"/>
      <protection hidden="1"/>
    </xf>
    <xf numFmtId="0" fontId="29" fillId="0" borderId="16" xfId="0" applyFont="1" applyBorder="1" applyAlignment="1" applyProtection="1">
      <alignment horizontal="left" vertical="center"/>
      <protection hidden="1"/>
    </xf>
    <xf numFmtId="0" fontId="29" fillId="0" borderId="16" xfId="0" applyFont="1" applyBorder="1" applyAlignment="1" applyProtection="1">
      <alignment horizontal="left" vertical="center" wrapText="1"/>
      <protection hidden="1"/>
    </xf>
    <xf numFmtId="0" fontId="29" fillId="0" borderId="16" xfId="0" applyFont="1" applyBorder="1" applyAlignment="1" applyProtection="1">
      <alignment horizontal="center" vertical="center"/>
      <protection hidden="1"/>
    </xf>
    <xf numFmtId="0" fontId="29" fillId="0" borderId="12" xfId="0" applyFont="1" applyBorder="1" applyAlignment="1" applyProtection="1">
      <alignment horizontal="left" vertical="center"/>
      <protection hidden="1"/>
    </xf>
    <xf numFmtId="0" fontId="29" fillId="0" borderId="12" xfId="0" applyFont="1" applyBorder="1" applyAlignment="1" applyProtection="1">
      <alignment horizontal="left" vertical="center" wrapText="1"/>
      <protection hidden="1"/>
    </xf>
    <xf numFmtId="0" fontId="29" fillId="0" borderId="12" xfId="0" applyFont="1" applyBorder="1" applyAlignment="1" applyProtection="1">
      <alignment horizontal="center" vertical="center"/>
      <protection hidden="1"/>
    </xf>
    <xf numFmtId="0" fontId="51" fillId="38" borderId="13" xfId="0" applyFont="1" applyFill="1" applyBorder="1" applyAlignment="1" applyProtection="1">
      <alignment horizontal="left" vertical="center"/>
      <protection hidden="1"/>
    </xf>
    <xf numFmtId="0" fontId="51" fillId="38" borderId="15" xfId="0" applyFont="1" applyFill="1" applyBorder="1" applyAlignment="1" applyProtection="1">
      <alignment horizontal="left" vertical="center"/>
      <protection hidden="1"/>
    </xf>
    <xf numFmtId="0" fontId="51" fillId="38" borderId="15" xfId="0" applyFont="1" applyFill="1" applyBorder="1" applyAlignment="1" applyProtection="1">
      <alignment horizontal="center" vertical="center"/>
      <protection hidden="1"/>
    </xf>
    <xf numFmtId="0" fontId="51" fillId="38" borderId="14" xfId="0" applyFont="1" applyFill="1" applyBorder="1" applyAlignment="1" applyProtection="1">
      <alignment horizontal="center" vertical="center"/>
      <protection hidden="1"/>
    </xf>
    <xf numFmtId="0" fontId="45" fillId="33" borderId="43" xfId="0" applyFont="1" applyFill="1" applyBorder="1" applyAlignment="1">
      <alignment horizontal="center" vertical="center" wrapText="1"/>
    </xf>
    <xf numFmtId="0" fontId="52" fillId="0" borderId="10" xfId="0" applyFont="1" applyFill="1" applyBorder="1" applyAlignment="1" applyProtection="1">
      <alignment horizontal="center" vertical="center"/>
      <protection hidden="1"/>
    </xf>
    <xf numFmtId="0" fontId="52" fillId="0" borderId="12" xfId="0" applyFont="1" applyFill="1" applyBorder="1" applyAlignment="1" applyProtection="1">
      <alignment horizontal="center" vertical="center"/>
      <protection hidden="1"/>
    </xf>
    <xf numFmtId="0" fontId="52" fillId="0" borderId="16" xfId="0" applyFont="1" applyFill="1" applyBorder="1" applyAlignment="1" applyProtection="1">
      <alignment horizontal="center" vertical="center"/>
      <protection hidden="1"/>
    </xf>
    <xf numFmtId="0" fontId="29" fillId="0" borderId="10" xfId="0" applyFont="1" applyFill="1" applyBorder="1" applyAlignment="1" applyProtection="1">
      <alignment horizontal="center" vertical="center"/>
      <protection hidden="1"/>
    </xf>
    <xf numFmtId="0" fontId="29" fillId="0" borderId="10" xfId="0" applyFont="1" applyFill="1" applyBorder="1" applyAlignment="1" applyProtection="1">
      <alignment horizontal="left" vertical="center"/>
      <protection hidden="1"/>
    </xf>
    <xf numFmtId="0" fontId="29" fillId="0" borderId="12" xfId="0" applyFont="1" applyFill="1" applyBorder="1" applyAlignment="1" applyProtection="1">
      <alignment horizontal="center" vertical="center"/>
      <protection hidden="1"/>
    </xf>
    <xf numFmtId="0" fontId="29" fillId="0" borderId="12" xfId="0" applyFont="1" applyFill="1" applyBorder="1" applyAlignment="1" applyProtection="1">
      <alignment horizontal="left" vertical="center"/>
      <protection hidden="1"/>
    </xf>
    <xf numFmtId="0" fontId="29" fillId="0" borderId="16" xfId="0" applyFont="1" applyFill="1" applyBorder="1" applyAlignment="1" applyProtection="1">
      <alignment horizontal="center" vertical="center"/>
      <protection hidden="1"/>
    </xf>
    <xf numFmtId="0" fontId="29" fillId="0" borderId="16" xfId="0" applyFont="1" applyFill="1" applyBorder="1" applyAlignment="1" applyProtection="1">
      <alignment horizontal="left" vertical="center"/>
      <protection hidden="1"/>
    </xf>
    <xf numFmtId="0" fontId="52" fillId="0" borderId="11" xfId="0" applyFont="1" applyFill="1" applyBorder="1" applyAlignment="1" applyProtection="1">
      <alignment horizontal="center" vertical="center"/>
      <protection hidden="1"/>
    </xf>
    <xf numFmtId="0" fontId="29" fillId="0" borderId="11" xfId="0" applyFont="1" applyFill="1" applyBorder="1" applyAlignment="1" applyProtection="1">
      <alignment horizontal="center" vertical="center"/>
      <protection hidden="1"/>
    </xf>
    <xf numFmtId="0" fontId="29" fillId="0" borderId="11" xfId="0" applyFont="1" applyFill="1" applyBorder="1" applyAlignment="1" applyProtection="1">
      <alignment horizontal="left" vertical="center"/>
      <protection hidden="1"/>
    </xf>
    <xf numFmtId="0" fontId="34" fillId="40" borderId="0" xfId="42" applyFont="1" applyFill="1" applyAlignment="1">
      <alignment horizontal="left" vertical="center"/>
    </xf>
    <xf numFmtId="0" fontId="37" fillId="33" borderId="0" xfId="42" applyFont="1" applyFill="1" applyAlignment="1">
      <alignment horizontal="left" vertical="center" wrapText="1"/>
    </xf>
    <xf numFmtId="0" fontId="37" fillId="33" borderId="0" xfId="42" applyFont="1" applyFill="1" applyAlignment="1">
      <alignment horizontal="left" wrapText="1"/>
    </xf>
    <xf numFmtId="0" fontId="42" fillId="34" borderId="0" xfId="0" applyFont="1" applyFill="1" applyAlignment="1" applyProtection="1">
      <alignment horizontal="center" vertical="center"/>
      <protection locked="0"/>
    </xf>
    <xf numFmtId="0" fontId="51" fillId="39" borderId="13" xfId="0" applyFont="1" applyFill="1" applyBorder="1" applyAlignment="1" applyProtection="1">
      <alignment horizontal="left" vertical="center" wrapText="1"/>
      <protection hidden="1"/>
    </xf>
    <xf numFmtId="0" fontId="51" fillId="39" borderId="15" xfId="0" applyFont="1" applyFill="1" applyBorder="1" applyAlignment="1" applyProtection="1">
      <alignment horizontal="left" vertical="center" wrapText="1"/>
      <protection hidden="1"/>
    </xf>
    <xf numFmtId="0" fontId="51" fillId="39" borderId="14" xfId="0" applyFont="1" applyFill="1" applyBorder="1" applyAlignment="1" applyProtection="1">
      <alignment horizontal="left" vertical="center" wrapText="1"/>
      <protection hidden="1"/>
    </xf>
    <xf numFmtId="0" fontId="51" fillId="39" borderId="13" xfId="0" applyFont="1" applyFill="1" applyBorder="1" applyAlignment="1" applyProtection="1">
      <alignment horizontal="left" vertical="center"/>
      <protection hidden="1"/>
    </xf>
    <xf numFmtId="0" fontId="51" fillId="39" borderId="15" xfId="0" applyFont="1" applyFill="1" applyBorder="1" applyAlignment="1" applyProtection="1">
      <alignment horizontal="left" vertical="center"/>
      <protection hidden="1"/>
    </xf>
    <xf numFmtId="0" fontId="51" fillId="39" borderId="14" xfId="0" applyFont="1" applyFill="1" applyBorder="1" applyAlignment="1" applyProtection="1">
      <alignment horizontal="left" vertical="center"/>
      <protection hidden="1"/>
    </xf>
    <xf numFmtId="0" fontId="46" fillId="35" borderId="13" xfId="0" applyFont="1" applyFill="1" applyBorder="1" applyAlignment="1" applyProtection="1">
      <alignment horizontal="center" vertical="center" wrapText="1"/>
      <protection hidden="1"/>
    </xf>
    <xf numFmtId="0" fontId="46" fillId="35" borderId="14" xfId="0" applyFont="1" applyFill="1" applyBorder="1" applyAlignment="1" applyProtection="1">
      <alignment horizontal="center" vertical="center" wrapText="1"/>
      <protection hidden="1"/>
    </xf>
    <xf numFmtId="0" fontId="46" fillId="35" borderId="15" xfId="0" applyFont="1" applyFill="1" applyBorder="1" applyAlignment="1" applyProtection="1">
      <alignment horizontal="center" vertical="center" wrapText="1"/>
      <protection hidden="1"/>
    </xf>
    <xf numFmtId="0" fontId="47" fillId="37" borderId="13" xfId="0" applyFont="1" applyFill="1" applyBorder="1" applyAlignment="1" applyProtection="1">
      <alignment horizontal="center" vertical="center" wrapText="1"/>
      <protection hidden="1"/>
    </xf>
    <xf numFmtId="0" fontId="47" fillId="37" borderId="15" xfId="0" applyFont="1" applyFill="1" applyBorder="1" applyAlignment="1" applyProtection="1">
      <alignment horizontal="center" vertical="center" wrapText="1"/>
      <protection hidden="1"/>
    </xf>
    <xf numFmtId="0" fontId="46" fillId="35" borderId="10" xfId="0" applyFont="1" applyFill="1" applyBorder="1" applyAlignment="1" applyProtection="1">
      <alignment horizontal="center" vertical="center" wrapText="1"/>
      <protection hidden="1"/>
    </xf>
    <xf numFmtId="0" fontId="46" fillId="35" borderId="16" xfId="0" applyFont="1" applyFill="1" applyBorder="1" applyAlignment="1" applyProtection="1">
      <alignment horizontal="center" vertical="center" wrapText="1"/>
      <protection hidden="1"/>
    </xf>
    <xf numFmtId="0" fontId="46" fillId="36" borderId="10" xfId="0" applyFont="1" applyFill="1" applyBorder="1" applyAlignment="1" applyProtection="1">
      <alignment horizontal="center" vertical="center" wrapText="1"/>
      <protection hidden="1"/>
    </xf>
    <xf numFmtId="0" fontId="46" fillId="36" borderId="16" xfId="0" applyFont="1" applyFill="1" applyBorder="1" applyAlignment="1" applyProtection="1">
      <alignment horizontal="center" vertical="center" wrapText="1"/>
      <protection hidden="1"/>
    </xf>
    <xf numFmtId="0" fontId="41" fillId="34" borderId="23" xfId="0" applyFont="1" applyFill="1" applyBorder="1" applyAlignment="1" applyProtection="1">
      <alignment horizontal="left" wrapText="1"/>
      <protection locked="0"/>
    </xf>
    <xf numFmtId="0" fontId="41" fillId="34" borderId="24" xfId="0" applyFont="1" applyFill="1" applyBorder="1" applyAlignment="1" applyProtection="1">
      <alignment horizontal="left" wrapText="1"/>
      <protection locked="0"/>
    </xf>
    <xf numFmtId="0" fontId="41" fillId="34" borderId="25" xfId="0" applyFont="1" applyFill="1" applyBorder="1" applyAlignment="1" applyProtection="1">
      <alignment horizontal="left" wrapText="1"/>
      <protection locked="0"/>
    </xf>
    <xf numFmtId="0" fontId="41" fillId="34" borderId="26" xfId="0" applyFont="1" applyFill="1" applyBorder="1" applyAlignment="1" applyProtection="1">
      <alignment horizontal="left" wrapText="1"/>
      <protection locked="0"/>
    </xf>
    <xf numFmtId="0" fontId="41" fillId="34" borderId="27" xfId="0" applyFont="1" applyFill="1" applyBorder="1" applyAlignment="1" applyProtection="1">
      <alignment horizontal="left" wrapText="1"/>
      <protection locked="0"/>
    </xf>
    <xf numFmtId="0" fontId="41" fillId="34" borderId="28" xfId="0" applyFont="1" applyFill="1" applyBorder="1" applyAlignment="1" applyProtection="1">
      <alignment horizontal="left" wrapText="1"/>
      <protection locked="0"/>
    </xf>
    <xf numFmtId="0" fontId="51" fillId="38" borderId="13" xfId="0" applyFont="1" applyFill="1" applyBorder="1" applyAlignment="1" applyProtection="1">
      <alignment horizontal="left" vertical="center"/>
      <protection hidden="1"/>
    </xf>
    <xf numFmtId="0" fontId="51" fillId="38" borderId="15" xfId="0" applyFont="1" applyFill="1" applyBorder="1" applyAlignment="1" applyProtection="1">
      <alignment horizontal="left" vertical="center"/>
      <protection hidden="1"/>
    </xf>
    <xf numFmtId="0" fontId="51" fillId="38" borderId="14" xfId="0" applyFont="1" applyFill="1" applyBorder="1" applyAlignment="1" applyProtection="1">
      <alignment horizontal="left" vertical="center"/>
      <protection hidden="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1 2" xfId="42" xr:uid="{00000000-0005-0000-0000-000017000000}"/>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5">
    <dxf>
      <fill>
        <patternFill patternType="none">
          <bgColor auto="1"/>
        </patternFill>
      </fill>
    </dxf>
    <dxf>
      <fill>
        <patternFill patternType="none">
          <bgColor auto="1"/>
        </patternFill>
      </fill>
    </dxf>
    <dxf>
      <fill>
        <patternFill>
          <bgColor rgb="FFA9D08E"/>
        </patternFill>
      </fill>
    </dxf>
    <dxf>
      <fill>
        <patternFill>
          <bgColor rgb="FFFFE699"/>
        </patternFill>
      </fill>
    </dxf>
    <dxf>
      <fill>
        <patternFill>
          <bgColor rgb="FFFF7979"/>
        </patternFill>
      </fill>
    </dxf>
  </dxfs>
  <tableStyles count="0" defaultTableStyle="TableStyleMedium2" defaultPivotStyle="PivotStyleLight16"/>
  <colors>
    <mruColors>
      <color rgb="FFFF7979"/>
      <color rgb="FFFFE699"/>
      <color rgb="FFA9D08E"/>
      <color rgb="FFEB5569"/>
      <color rgb="FF54B690"/>
      <color rgb="FFFFD147"/>
      <color rgb="FF00AD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2362200</xdr:colOff>
      <xdr:row>4</xdr:row>
      <xdr:rowOff>15240</xdr:rowOff>
    </xdr:from>
    <xdr:ext cx="579120" cy="586740"/>
    <xdr:pic>
      <xdr:nvPicPr>
        <xdr:cNvPr id="2" name="Gráfico 1" descr="Diagrama de Gantt con relleno sólido">
          <a:extLst>
            <a:ext uri="{FF2B5EF4-FFF2-40B4-BE49-F238E27FC236}">
              <a16:creationId xmlns:a16="http://schemas.microsoft.com/office/drawing/2014/main" id="{F6E88175-3689-401D-A571-12B343C300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286750" y="834390"/>
          <a:ext cx="579120" cy="586740"/>
        </a:xfrm>
        <a:prstGeom prst="rect">
          <a:avLst/>
        </a:prstGeom>
      </xdr:spPr>
    </xdr:pic>
    <xdr:clientData/>
  </xdr:oneCellAnchor>
  <xdr:twoCellAnchor editAs="oneCell">
    <xdr:from>
      <xdr:col>4</xdr:col>
      <xdr:colOff>1619380</xdr:colOff>
      <xdr:row>0</xdr:row>
      <xdr:rowOff>80052</xdr:rowOff>
    </xdr:from>
    <xdr:to>
      <xdr:col>5</xdr:col>
      <xdr:colOff>20585</xdr:colOff>
      <xdr:row>3</xdr:row>
      <xdr:rowOff>53340</xdr:rowOff>
    </xdr:to>
    <xdr:pic>
      <xdr:nvPicPr>
        <xdr:cNvPr id="3" name="Imagen 2">
          <a:extLst>
            <a:ext uri="{FF2B5EF4-FFF2-40B4-BE49-F238E27FC236}">
              <a16:creationId xmlns:a16="http://schemas.microsoft.com/office/drawing/2014/main" id="{B998DBDE-EF67-4BFD-9122-EB4BB45E00A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543930" y="80052"/>
          <a:ext cx="1115830" cy="53526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rojas\Documents\Yuliana%20PC\CEPLAN\Ceplan%20PC\74.%20Capacitaci&#243;n%20PESEM%2008.23\Reportes%20Pesem%20a%20entregar\1.%20RS_PESEM%20-M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Instrucciones"/>
      <sheetName val="1."/>
    </sheetNames>
    <sheetDataSet>
      <sheetData sheetId="0">
        <row r="3">
          <cell r="CD3" t="str">
            <v>Ascendente</v>
          </cell>
        </row>
        <row r="4">
          <cell r="CD4" t="str">
            <v>Descendente</v>
          </cell>
        </row>
        <row r="5">
          <cell r="CD5" t="str">
            <v>No_definido</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2:M22"/>
  <sheetViews>
    <sheetView showGridLines="0" zoomScale="115" zoomScaleNormal="115" workbookViewId="0">
      <selection activeCell="G5" sqref="G5"/>
    </sheetView>
  </sheetViews>
  <sheetFormatPr baseColWidth="10" defaultColWidth="9.140625" defaultRowHeight="12.75" x14ac:dyDescent="0.2"/>
  <cols>
    <col min="1" max="1" width="4.7109375" style="6" customWidth="1"/>
    <col min="2" max="2" width="2.7109375" style="6" customWidth="1"/>
    <col min="3" max="5" width="40.7109375" style="9" customWidth="1"/>
    <col min="6" max="6" width="2.7109375" style="9" customWidth="1"/>
    <col min="7" max="16384" width="9.140625" style="9"/>
  </cols>
  <sheetData>
    <row r="2" spans="1:13" ht="15.75" x14ac:dyDescent="0.25">
      <c r="B2" s="7" t="s">
        <v>53</v>
      </c>
      <c r="C2" s="8"/>
    </row>
    <row r="3" spans="1:13" ht="15.75" x14ac:dyDescent="0.25">
      <c r="B3" s="10" t="s">
        <v>54</v>
      </c>
      <c r="C3" s="8"/>
    </row>
    <row r="4" spans="1:13" s="11" customFormat="1" ht="20.45" customHeight="1" x14ac:dyDescent="0.4">
      <c r="D4" s="12"/>
    </row>
    <row r="5" spans="1:13" ht="50.1" customHeight="1" x14ac:dyDescent="0.4">
      <c r="A5" s="11"/>
      <c r="B5" s="13"/>
      <c r="C5" s="125" t="s">
        <v>55</v>
      </c>
      <c r="D5" s="125"/>
      <c r="E5" s="125"/>
      <c r="F5" s="13"/>
      <c r="G5" s="11"/>
      <c r="H5" s="11"/>
      <c r="I5" s="11"/>
      <c r="J5" s="11"/>
      <c r="K5" s="11"/>
      <c r="L5" s="11"/>
      <c r="M5" s="11"/>
    </row>
    <row r="6" spans="1:13" ht="14.45" customHeight="1" x14ac:dyDescent="0.4">
      <c r="A6" s="11"/>
      <c r="B6" s="14"/>
      <c r="C6" s="15"/>
      <c r="D6" s="16"/>
      <c r="E6" s="14"/>
      <c r="F6" s="14"/>
      <c r="G6" s="11"/>
      <c r="H6" s="11"/>
      <c r="I6" s="11"/>
      <c r="J6" s="11"/>
      <c r="K6" s="11"/>
      <c r="L6" s="11"/>
      <c r="M6" s="11"/>
    </row>
    <row r="7" spans="1:13" s="6" customFormat="1" ht="108" customHeight="1" x14ac:dyDescent="0.4">
      <c r="A7" s="11"/>
      <c r="B7" s="14"/>
      <c r="C7" s="126" t="s">
        <v>120</v>
      </c>
      <c r="D7" s="126"/>
      <c r="E7" s="126"/>
      <c r="F7" s="14"/>
      <c r="G7" s="11"/>
      <c r="H7" s="11"/>
      <c r="I7" s="11"/>
      <c r="J7" s="11"/>
      <c r="K7" s="11"/>
      <c r="L7" s="11"/>
      <c r="M7" s="11"/>
    </row>
    <row r="8" spans="1:13" s="6" customFormat="1" ht="189.75" customHeight="1" x14ac:dyDescent="0.4">
      <c r="A8" s="11"/>
      <c r="B8" s="14"/>
      <c r="C8" s="127" t="s">
        <v>121</v>
      </c>
      <c r="D8" s="127"/>
      <c r="E8" s="127"/>
      <c r="F8" s="14"/>
      <c r="G8" s="11"/>
      <c r="H8" s="11"/>
      <c r="I8" s="11"/>
      <c r="J8" s="11"/>
      <c r="K8" s="11"/>
      <c r="L8" s="11"/>
      <c r="M8" s="11"/>
    </row>
    <row r="9" spans="1:13" ht="18.75" customHeight="1" x14ac:dyDescent="0.3">
      <c r="A9" s="9"/>
      <c r="B9" s="17"/>
      <c r="C9" s="17"/>
      <c r="D9" s="18"/>
      <c r="E9" s="17"/>
      <c r="F9" s="17"/>
    </row>
    <row r="10" spans="1:13" ht="50.1" customHeight="1" x14ac:dyDescent="0.2">
      <c r="A10" s="9"/>
      <c r="B10" s="9"/>
    </row>
    <row r="11" spans="1:13" ht="14.45" customHeight="1" x14ac:dyDescent="0.2">
      <c r="A11" s="9"/>
      <c r="B11" s="9"/>
      <c r="D11" s="19"/>
    </row>
    <row r="12" spans="1:13" ht="90" customHeight="1" x14ac:dyDescent="0.2">
      <c r="C12" s="6"/>
      <c r="D12" s="6"/>
      <c r="E12" s="6"/>
      <c r="F12" s="6"/>
      <c r="G12" s="6"/>
      <c r="H12" s="6"/>
    </row>
    <row r="13" spans="1:13" ht="14.45" customHeight="1" x14ac:dyDescent="0.2">
      <c r="A13" s="9"/>
      <c r="B13" s="9"/>
    </row>
    <row r="14" spans="1:13" x14ac:dyDescent="0.2">
      <c r="A14" s="9"/>
      <c r="B14" s="9"/>
      <c r="D14" s="6"/>
    </row>
    <row r="15" spans="1:13" x14ac:dyDescent="0.2">
      <c r="A15" s="9"/>
      <c r="B15" s="9"/>
      <c r="D15" s="6"/>
    </row>
    <row r="16" spans="1:13" x14ac:dyDescent="0.2">
      <c r="A16" s="9"/>
      <c r="B16" s="9"/>
      <c r="D16" s="6"/>
    </row>
    <row r="17" spans="1:4" x14ac:dyDescent="0.2">
      <c r="A17" s="9"/>
      <c r="B17" s="9"/>
      <c r="D17" s="6"/>
    </row>
    <row r="18" spans="1:4" x14ac:dyDescent="0.2">
      <c r="A18" s="9"/>
      <c r="B18" s="9"/>
      <c r="D18" s="6"/>
    </row>
    <row r="19" spans="1:4" x14ac:dyDescent="0.2">
      <c r="A19" s="9"/>
      <c r="B19" s="9"/>
      <c r="D19" s="6"/>
    </row>
    <row r="20" spans="1:4" x14ac:dyDescent="0.2">
      <c r="A20" s="9"/>
      <c r="B20" s="9"/>
      <c r="D20" s="6"/>
    </row>
    <row r="21" spans="1:4" x14ac:dyDescent="0.2">
      <c r="A21" s="9"/>
      <c r="B21" s="9"/>
      <c r="D21" s="6"/>
    </row>
    <row r="22" spans="1:4" x14ac:dyDescent="0.2">
      <c r="A22" s="9"/>
      <c r="B22" s="9"/>
      <c r="D22" s="6"/>
    </row>
  </sheetData>
  <mergeCells count="3">
    <mergeCell ref="C5:E5"/>
    <mergeCell ref="C7:E7"/>
    <mergeCell ref="C8:E8"/>
  </mergeCells>
  <pageMargins left="0.5" right="0.5" top="0.5" bottom="0.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CX61"/>
  <sheetViews>
    <sheetView showGridLines="0" tabSelected="1" topLeftCell="C1" zoomScale="85" zoomScaleNormal="85" zoomScaleSheetLayoutView="40" workbookViewId="0">
      <pane ySplit="10" topLeftCell="A48" activePane="bottomLeft" state="frozen"/>
      <selection activeCell="B1" sqref="B1"/>
      <selection pane="bottomLeft" activeCell="AB7" sqref="AB7"/>
    </sheetView>
  </sheetViews>
  <sheetFormatPr baseColWidth="10" defaultColWidth="11.5703125" defaultRowHeight="15" x14ac:dyDescent="0.25"/>
  <cols>
    <col min="1" max="1" width="3.85546875" style="20" customWidth="1"/>
    <col min="2" max="2" width="23.140625" style="20" customWidth="1"/>
    <col min="3" max="3" width="67.28515625" style="20" customWidth="1"/>
    <col min="4" max="4" width="23.28515625" style="20" customWidth="1"/>
    <col min="5" max="5" width="28.42578125" style="20" customWidth="1"/>
    <col min="6" max="6" width="16.42578125" style="20" customWidth="1"/>
    <col min="7" max="7" width="11.5703125" style="20"/>
    <col min="8" max="8" width="13.42578125" style="20" customWidth="1"/>
    <col min="9" max="9" width="9.7109375" style="67" customWidth="1"/>
    <col min="10" max="15" width="6.7109375" style="20" customWidth="1"/>
    <col min="16" max="16" width="9.140625" style="20" customWidth="1"/>
    <col min="17" max="17" width="6.7109375" style="20" customWidth="1"/>
    <col min="18" max="18" width="9.7109375" style="20" customWidth="1"/>
    <col min="19" max="24" width="6.7109375" style="20" customWidth="1"/>
    <col min="25" max="25" width="6.85546875" style="20" customWidth="1"/>
    <col min="26" max="26" width="9.42578125" style="20" customWidth="1"/>
    <col min="27" max="27" width="4.28515625" style="20" customWidth="1"/>
    <col min="28" max="28" width="9.85546875" style="1" customWidth="1"/>
    <col min="29" max="29" width="6.85546875" style="1" customWidth="1"/>
    <col min="30" max="30" width="6.5703125" style="5" customWidth="1"/>
    <col min="31" max="31" width="5" style="5" customWidth="1"/>
    <col min="32" max="32" width="4.140625" style="1" customWidth="1"/>
    <col min="33" max="34" width="11.5703125" style="1" customWidth="1"/>
    <col min="35" max="16384" width="11.5703125" style="20"/>
  </cols>
  <sheetData>
    <row r="2" spans="2:37" s="24" customFormat="1" ht="39" customHeight="1" x14ac:dyDescent="0.3">
      <c r="B2" s="128" t="s">
        <v>132</v>
      </c>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29"/>
      <c r="AD2" s="29"/>
      <c r="AE2" s="29"/>
    </row>
    <row r="3" spans="2:37" s="24" customFormat="1" ht="30.75" customHeight="1" x14ac:dyDescent="0.3">
      <c r="B3" s="128" t="s">
        <v>133</v>
      </c>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29"/>
      <c r="AD3" s="29"/>
      <c r="AE3" s="29"/>
    </row>
    <row r="4" spans="2:37" s="24" customFormat="1" ht="15.95" customHeight="1" x14ac:dyDescent="0.3">
      <c r="B4" s="25"/>
      <c r="C4" s="84" t="s">
        <v>134</v>
      </c>
      <c r="D4" s="85"/>
      <c r="E4" s="85"/>
      <c r="F4" s="86"/>
      <c r="G4" s="83"/>
      <c r="H4" s="83"/>
      <c r="I4" s="83"/>
      <c r="J4" s="83"/>
      <c r="K4" s="83"/>
      <c r="L4" s="83"/>
      <c r="M4" s="83"/>
      <c r="N4" s="83"/>
      <c r="O4" s="83"/>
      <c r="P4" s="83"/>
      <c r="Q4" s="83"/>
      <c r="R4" s="83"/>
      <c r="S4" s="83"/>
      <c r="T4" s="83"/>
      <c r="AC4" s="29"/>
      <c r="AD4" s="29"/>
      <c r="AE4" s="29"/>
    </row>
    <row r="5" spans="2:37" s="24" customFormat="1" ht="15.95" customHeight="1" x14ac:dyDescent="0.3">
      <c r="B5" s="25"/>
      <c r="C5" s="84" t="s">
        <v>135</v>
      </c>
      <c r="D5" s="85"/>
      <c r="E5" s="85"/>
      <c r="F5" s="86"/>
      <c r="G5" s="83"/>
      <c r="H5" s="83"/>
      <c r="I5" s="83"/>
      <c r="J5" s="83"/>
      <c r="K5" s="83"/>
      <c r="L5" s="83"/>
      <c r="M5" s="83"/>
      <c r="N5" s="83"/>
      <c r="O5" s="83"/>
      <c r="P5" s="83"/>
      <c r="Q5" s="83"/>
      <c r="R5" s="83"/>
      <c r="S5" s="83"/>
      <c r="T5" s="83"/>
      <c r="AC5" s="29"/>
      <c r="AD5" s="29"/>
      <c r="AE5" s="29"/>
    </row>
    <row r="6" spans="2:37" s="24" customFormat="1" ht="15.95" customHeight="1" x14ac:dyDescent="0.3">
      <c r="B6" s="25"/>
      <c r="C6" s="84" t="s">
        <v>136</v>
      </c>
      <c r="D6" s="85"/>
      <c r="E6" s="85"/>
      <c r="F6" s="86"/>
      <c r="G6" s="83"/>
      <c r="H6" s="83"/>
      <c r="I6" s="83"/>
      <c r="J6" s="83"/>
      <c r="K6" s="83"/>
      <c r="L6" s="83"/>
      <c r="M6" s="83"/>
      <c r="N6" s="83"/>
      <c r="O6" s="83"/>
      <c r="P6" s="83"/>
      <c r="Q6" s="83"/>
      <c r="R6" s="83"/>
      <c r="S6" s="83"/>
      <c r="T6" s="83"/>
      <c r="AC6" s="29"/>
      <c r="AD6" s="29"/>
      <c r="AE6" s="29"/>
    </row>
    <row r="7" spans="2:37" x14ac:dyDescent="0.25">
      <c r="I7" s="20"/>
      <c r="AB7" s="20"/>
      <c r="AC7" s="20"/>
      <c r="AD7" s="20"/>
      <c r="AE7" s="20"/>
      <c r="AG7" s="20"/>
      <c r="AH7" s="20"/>
      <c r="AI7" s="1"/>
      <c r="AJ7" s="1"/>
      <c r="AK7" s="1"/>
    </row>
    <row r="8" spans="2:37" ht="14.45" customHeight="1" x14ac:dyDescent="0.35">
      <c r="B8" s="2"/>
      <c r="C8" s="22"/>
      <c r="D8" s="21"/>
      <c r="E8" s="21"/>
      <c r="F8" s="21"/>
      <c r="G8" s="21"/>
      <c r="H8" s="21"/>
      <c r="I8" s="68"/>
      <c r="J8" s="21"/>
      <c r="K8" s="21"/>
      <c r="L8" s="21"/>
      <c r="M8" s="21"/>
      <c r="N8" s="21"/>
      <c r="O8" s="21"/>
      <c r="P8" s="21"/>
      <c r="Q8" s="21"/>
      <c r="R8" s="23"/>
      <c r="S8" s="23"/>
      <c r="T8" s="23"/>
      <c r="U8" s="23"/>
      <c r="V8" s="23"/>
      <c r="W8" s="23"/>
      <c r="X8" s="23"/>
      <c r="Y8" s="23"/>
    </row>
    <row r="9" spans="2:37" s="51" customFormat="1" ht="47.25" x14ac:dyDescent="0.25">
      <c r="B9" s="140" t="s">
        <v>24</v>
      </c>
      <c r="C9" s="140" t="s">
        <v>25</v>
      </c>
      <c r="D9" s="135" t="s">
        <v>26</v>
      </c>
      <c r="E9" s="136"/>
      <c r="F9" s="140" t="s">
        <v>27</v>
      </c>
      <c r="G9" s="142" t="s">
        <v>28</v>
      </c>
      <c r="H9" s="142" t="s">
        <v>29</v>
      </c>
      <c r="I9" s="135" t="s">
        <v>30</v>
      </c>
      <c r="J9" s="136"/>
      <c r="K9" s="137"/>
      <c r="L9" s="137"/>
      <c r="M9" s="137"/>
      <c r="N9" s="137"/>
      <c r="O9" s="137"/>
      <c r="P9" s="137"/>
      <c r="Q9" s="137"/>
      <c r="R9" s="137"/>
      <c r="S9" s="137"/>
      <c r="T9" s="138" t="s">
        <v>31</v>
      </c>
      <c r="U9" s="139"/>
      <c r="V9" s="139"/>
      <c r="W9" s="139"/>
      <c r="X9" s="139"/>
      <c r="Y9" s="139"/>
      <c r="Z9" s="50" t="s">
        <v>32</v>
      </c>
      <c r="AB9" s="52"/>
      <c r="AC9" s="52"/>
      <c r="AD9" s="53"/>
      <c r="AE9" s="53"/>
      <c r="AF9" s="52"/>
      <c r="AG9" s="52"/>
      <c r="AH9" s="52"/>
    </row>
    <row r="10" spans="2:37" s="51" customFormat="1" ht="15.75" x14ac:dyDescent="0.25">
      <c r="B10" s="141"/>
      <c r="C10" s="141"/>
      <c r="D10" s="54" t="s">
        <v>1</v>
      </c>
      <c r="E10" s="54" t="s">
        <v>33</v>
      </c>
      <c r="F10" s="141"/>
      <c r="G10" s="143"/>
      <c r="H10" s="143"/>
      <c r="I10" s="54" t="s">
        <v>2</v>
      </c>
      <c r="J10" s="54" t="s">
        <v>3</v>
      </c>
      <c r="K10" s="54">
        <v>2017</v>
      </c>
      <c r="L10" s="54">
        <v>2018</v>
      </c>
      <c r="M10" s="54">
        <v>2019</v>
      </c>
      <c r="N10" s="54">
        <v>2020</v>
      </c>
      <c r="O10" s="54">
        <v>2021</v>
      </c>
      <c r="P10" s="54">
        <v>2022</v>
      </c>
      <c r="Q10" s="54">
        <v>2023</v>
      </c>
      <c r="R10" s="54">
        <v>2024</v>
      </c>
      <c r="S10" s="54">
        <v>2025</v>
      </c>
      <c r="T10" s="50">
        <v>2017</v>
      </c>
      <c r="U10" s="50">
        <v>2018</v>
      </c>
      <c r="V10" s="50">
        <v>2019</v>
      </c>
      <c r="W10" s="50">
        <v>2020</v>
      </c>
      <c r="X10" s="50">
        <v>2021</v>
      </c>
      <c r="Y10" s="50">
        <v>2022</v>
      </c>
      <c r="Z10" s="50">
        <v>2022</v>
      </c>
      <c r="AB10" s="52"/>
      <c r="AC10" s="52"/>
      <c r="AD10" s="53"/>
      <c r="AE10" s="53"/>
      <c r="AF10" s="52"/>
      <c r="AG10" s="52"/>
      <c r="AH10" s="52"/>
      <c r="AI10" s="55"/>
    </row>
    <row r="11" spans="2:37" s="51" customFormat="1" ht="27" customHeight="1" x14ac:dyDescent="0.25">
      <c r="B11" s="56" t="s">
        <v>0</v>
      </c>
      <c r="C11" s="56" t="s">
        <v>56</v>
      </c>
      <c r="D11" s="56"/>
      <c r="E11" s="56"/>
      <c r="F11" s="56"/>
      <c r="G11" s="56"/>
      <c r="H11" s="56"/>
      <c r="I11" s="57"/>
      <c r="J11" s="56"/>
      <c r="K11" s="57"/>
      <c r="L11" s="57"/>
      <c r="M11" s="57"/>
      <c r="N11" s="57"/>
      <c r="O11" s="57"/>
      <c r="P11" s="57"/>
      <c r="Q11" s="57"/>
      <c r="R11" s="57"/>
      <c r="S11" s="57"/>
      <c r="T11" s="57"/>
      <c r="U11" s="57"/>
      <c r="V11" s="57"/>
      <c r="W11" s="57"/>
      <c r="X11" s="57"/>
      <c r="Y11" s="57"/>
      <c r="Z11" s="58">
        <f>IFERROR(AVERAGEIFS(AC12,AC12,"&lt;&gt;ND"),"ND")</f>
        <v>100</v>
      </c>
      <c r="AB11" s="52"/>
      <c r="AC11" s="52"/>
      <c r="AD11" s="53"/>
      <c r="AE11" s="53"/>
      <c r="AF11" s="52"/>
      <c r="AG11" s="52"/>
      <c r="AH11" s="52"/>
    </row>
    <row r="12" spans="2:37" s="51" customFormat="1" ht="47.25" x14ac:dyDescent="0.25">
      <c r="B12" s="59" t="s">
        <v>4</v>
      </c>
      <c r="C12" s="89" t="s">
        <v>105</v>
      </c>
      <c r="D12" s="90" t="s">
        <v>106</v>
      </c>
      <c r="E12" s="90" t="s">
        <v>107</v>
      </c>
      <c r="F12" s="91" t="s">
        <v>118</v>
      </c>
      <c r="G12" s="113" t="s">
        <v>35</v>
      </c>
      <c r="H12" s="113" t="s">
        <v>40</v>
      </c>
      <c r="I12" s="113">
        <v>2016</v>
      </c>
      <c r="J12" s="113">
        <v>1096</v>
      </c>
      <c r="K12" s="113">
        <v>1181</v>
      </c>
      <c r="L12" s="113">
        <v>1274</v>
      </c>
      <c r="M12" s="113">
        <v>1375</v>
      </c>
      <c r="N12" s="113">
        <v>779</v>
      </c>
      <c r="O12" s="113">
        <v>1265</v>
      </c>
      <c r="P12" s="113">
        <v>1272</v>
      </c>
      <c r="Q12" s="113">
        <v>1280</v>
      </c>
      <c r="R12" s="113">
        <v>1288</v>
      </c>
      <c r="S12" s="113">
        <v>1372</v>
      </c>
      <c r="T12" s="113">
        <v>1152</v>
      </c>
      <c r="U12" s="113">
        <v>1344</v>
      </c>
      <c r="V12" s="113">
        <v>1299</v>
      </c>
      <c r="W12" s="113">
        <v>1116</v>
      </c>
      <c r="X12" s="113">
        <v>1265</v>
      </c>
      <c r="Y12" s="113">
        <v>1701</v>
      </c>
      <c r="Z12" s="60">
        <f>IF(OR(P12="",Y12=""),"Llenar",IF(OR(Y12="ND",P12="ND"),"ND",IF(G12="Ascendente",Y12/P12*100,IF(AND(G12="Descendente",P12=0,Y12=0),100,IF(AND(G12="Descendente",P12=0,Y12&lt;&gt;0),0,IF(G12="Descendente",P12/Y12*100,IF(AND(G12="No_definido",H12="Máximo permisible"),IF(Y12&lt;=P12,100,0),IF(AND(G12="No_definido",H12="Mínimo permisible"),IF(Y12&gt;=P12,100,0),"Llenar"))))))))</f>
        <v>133.72641509433961</v>
      </c>
      <c r="AB12" s="52"/>
      <c r="AC12" s="52">
        <f>IF(Z12="Llenar","",IF(OR(Z12="INDET",Z12="Llenar",Z12="ND"),"ND",IF(Z12&gt;=100,100,Z12)))</f>
        <v>100</v>
      </c>
      <c r="AD12" s="53"/>
      <c r="AE12" s="53"/>
      <c r="AF12" s="52"/>
      <c r="AG12" s="52"/>
      <c r="AH12" s="52"/>
    </row>
    <row r="13" spans="2:37" s="51" customFormat="1" ht="31.5" customHeight="1" x14ac:dyDescent="0.25">
      <c r="B13" s="87" t="s">
        <v>6</v>
      </c>
      <c r="C13" s="129" t="s">
        <v>104</v>
      </c>
      <c r="D13" s="130"/>
      <c r="E13" s="130"/>
      <c r="F13" s="130"/>
      <c r="G13" s="130"/>
      <c r="H13" s="130"/>
      <c r="I13" s="130"/>
      <c r="J13" s="130"/>
      <c r="K13" s="130"/>
      <c r="L13" s="130"/>
      <c r="M13" s="130"/>
      <c r="N13" s="130"/>
      <c r="O13" s="130"/>
      <c r="P13" s="130"/>
      <c r="Q13" s="130"/>
      <c r="R13" s="130"/>
      <c r="S13" s="130"/>
      <c r="T13" s="130"/>
      <c r="U13" s="130"/>
      <c r="V13" s="130"/>
      <c r="W13" s="130"/>
      <c r="X13" s="130"/>
      <c r="Y13" s="131"/>
      <c r="Z13" s="88">
        <f>IFERROR(AVERAGEIFS(AC14:AC14,AC14:AC14,"&lt;&gt;ND"),"ND")</f>
        <v>85.833333333333343</v>
      </c>
      <c r="AB13" s="52"/>
      <c r="AC13" s="52"/>
      <c r="AD13" s="53"/>
      <c r="AE13" s="53"/>
      <c r="AF13" s="52"/>
      <c r="AG13" s="52"/>
      <c r="AH13" s="52"/>
    </row>
    <row r="14" spans="2:37" s="51" customFormat="1" ht="64.5" customHeight="1" x14ac:dyDescent="0.25">
      <c r="B14" s="59" t="s">
        <v>43</v>
      </c>
      <c r="C14" s="94" t="s">
        <v>103</v>
      </c>
      <c r="D14" s="95" t="s">
        <v>106</v>
      </c>
      <c r="E14" s="95" t="s">
        <v>107</v>
      </c>
      <c r="F14" s="96" t="s">
        <v>8</v>
      </c>
      <c r="G14" s="114" t="s">
        <v>35</v>
      </c>
      <c r="H14" s="114" t="s">
        <v>40</v>
      </c>
      <c r="I14" s="114">
        <v>2016</v>
      </c>
      <c r="J14" s="114">
        <v>10.7</v>
      </c>
      <c r="K14" s="114">
        <v>11.1</v>
      </c>
      <c r="L14" s="114">
        <v>11.6</v>
      </c>
      <c r="M14" s="114">
        <v>12.2</v>
      </c>
      <c r="N14" s="114">
        <v>6.2</v>
      </c>
      <c r="O14" s="114">
        <v>11.7</v>
      </c>
      <c r="P14" s="114">
        <v>12</v>
      </c>
      <c r="Q14" s="114">
        <v>12.3</v>
      </c>
      <c r="R14" s="114">
        <v>12.6</v>
      </c>
      <c r="S14" s="114">
        <v>12.6</v>
      </c>
      <c r="T14" s="114">
        <v>9.4</v>
      </c>
      <c r="U14" s="114">
        <v>10</v>
      </c>
      <c r="V14" s="114">
        <v>10.199999999999999</v>
      </c>
      <c r="W14" s="114">
        <v>12</v>
      </c>
      <c r="X14" s="114">
        <v>10.8</v>
      </c>
      <c r="Y14" s="114">
        <v>10.3</v>
      </c>
      <c r="Z14" s="60">
        <f>IF(OR(P14="",Y14=""),"Llenar",IF(OR(Y14="ND",P14="ND"),"ND",IF(G14="Ascendente",Y14/P14*100,IF(AND(G14="Descendente",P14=0,Y14=0),100,IF(AND(G14="Descendente",P14=0,Y14&lt;&gt;0),0,IF(G14="Descendente",P14/Y14*100,IF(AND(G14="No_definido",H14="Máximo permisible"),IF(Y14&lt;=P14,100,0),IF(AND(G14="No_definido",H14="Mínimo permisible"),IF(Y14&gt;=P14,100,0),"Llenar"))))))))</f>
        <v>85.833333333333343</v>
      </c>
      <c r="AB14" s="52"/>
      <c r="AC14" s="52">
        <f t="shared" ref="AC14" si="0">IF(Z14="Llenar","",IF(OR(Z14="INDET",Z14="Llenar",Z14="ND"),"ND",IF(Z14&gt;=100,100,Z14)))</f>
        <v>85.833333333333343</v>
      </c>
      <c r="AD14" s="53"/>
      <c r="AE14" s="53"/>
      <c r="AF14" s="52"/>
      <c r="AG14" s="52"/>
      <c r="AH14" s="52"/>
    </row>
    <row r="15" spans="2:37" s="51" customFormat="1" ht="27" customHeight="1" x14ac:dyDescent="0.25">
      <c r="B15" s="87" t="s">
        <v>7</v>
      </c>
      <c r="C15" s="129" t="s">
        <v>102</v>
      </c>
      <c r="D15" s="130"/>
      <c r="E15" s="130"/>
      <c r="F15" s="130"/>
      <c r="G15" s="130"/>
      <c r="H15" s="130"/>
      <c r="I15" s="130"/>
      <c r="J15" s="130"/>
      <c r="K15" s="130"/>
      <c r="L15" s="130"/>
      <c r="M15" s="130"/>
      <c r="N15" s="130"/>
      <c r="O15" s="130"/>
      <c r="P15" s="130"/>
      <c r="Q15" s="130"/>
      <c r="R15" s="130"/>
      <c r="S15" s="130"/>
      <c r="T15" s="130"/>
      <c r="U15" s="130"/>
      <c r="V15" s="130"/>
      <c r="W15" s="130"/>
      <c r="X15" s="130"/>
      <c r="Y15" s="131"/>
      <c r="Z15" s="88">
        <f>IFERROR(AVERAGEIFS(AC16:AC16,AC16:AC16,"&lt;&gt;ND"),"ND")</f>
        <v>100</v>
      </c>
      <c r="AB15" s="52"/>
      <c r="AC15" s="52"/>
      <c r="AD15" s="53"/>
      <c r="AE15" s="53"/>
      <c r="AF15" s="52"/>
      <c r="AG15" s="52"/>
      <c r="AH15" s="52"/>
    </row>
    <row r="16" spans="2:37" s="51" customFormat="1" ht="47.25" x14ac:dyDescent="0.25">
      <c r="B16" s="59" t="s">
        <v>44</v>
      </c>
      <c r="C16" s="94" t="s">
        <v>101</v>
      </c>
      <c r="D16" s="95" t="s">
        <v>106</v>
      </c>
      <c r="E16" s="95" t="s">
        <v>107</v>
      </c>
      <c r="F16" s="96" t="s">
        <v>8</v>
      </c>
      <c r="G16" s="114" t="s">
        <v>35</v>
      </c>
      <c r="H16" s="114" t="s">
        <v>40</v>
      </c>
      <c r="I16" s="114">
        <v>2014</v>
      </c>
      <c r="J16" s="114">
        <v>18.7</v>
      </c>
      <c r="K16" s="114">
        <v>25.7</v>
      </c>
      <c r="L16" s="114">
        <v>28.7</v>
      </c>
      <c r="M16" s="114">
        <v>32</v>
      </c>
      <c r="N16" s="114">
        <v>2.7</v>
      </c>
      <c r="O16" s="114">
        <v>4.2</v>
      </c>
      <c r="P16" s="114">
        <v>4.5999999999999996</v>
      </c>
      <c r="Q16" s="114">
        <v>4.8</v>
      </c>
      <c r="R16" s="114">
        <v>5</v>
      </c>
      <c r="S16" s="114">
        <v>5.2</v>
      </c>
      <c r="T16" s="114">
        <v>14.7</v>
      </c>
      <c r="U16" s="114">
        <v>16.399999999999999</v>
      </c>
      <c r="V16" s="114">
        <v>18.3</v>
      </c>
      <c r="W16" s="114">
        <v>3.8</v>
      </c>
      <c r="X16" s="114">
        <v>4.2</v>
      </c>
      <c r="Y16" s="114">
        <v>4.5999999999999996</v>
      </c>
      <c r="Z16" s="60">
        <f>IF(OR(P16="",Y16=""),"Llenar",IF(OR(Y16="ND",P16="ND"),"ND",IF(G16="Ascendente",Y16/P16*100,IF(AND(G16="Descendente",P16=0,Y16=0),100,IF(AND(G16="Descendente",P16=0,Y16&lt;&gt;0),0,IF(G16="Descendente",P16/Y16*100,IF(AND(G16="No_definido",H16="Máximo permisible"),IF(Y16&lt;=P16,100,0),IF(AND(G16="No_definido",H16="Mínimo permisible"),IF(Y16&gt;=P16,100,0),"Llenar"))))))))</f>
        <v>100</v>
      </c>
      <c r="AB16" s="52"/>
      <c r="AC16" s="52">
        <f t="shared" ref="AC16" si="1">IF(Z16="Llenar","",IF(OR(Z16="INDET",Z16="Llenar",Z16="ND"),"ND",IF(Z16&gt;=100,100,Z16)))</f>
        <v>100</v>
      </c>
      <c r="AD16" s="53"/>
      <c r="AE16" s="53"/>
      <c r="AF16" s="52"/>
      <c r="AG16" s="52"/>
      <c r="AH16" s="52"/>
    </row>
    <row r="17" spans="2:34" s="51" customFormat="1" ht="26.25" customHeight="1" x14ac:dyDescent="0.25">
      <c r="B17" s="87" t="s">
        <v>9</v>
      </c>
      <c r="C17" s="132" t="s">
        <v>100</v>
      </c>
      <c r="D17" s="133"/>
      <c r="E17" s="133"/>
      <c r="F17" s="133"/>
      <c r="G17" s="133"/>
      <c r="H17" s="133"/>
      <c r="I17" s="133"/>
      <c r="J17" s="133"/>
      <c r="K17" s="133"/>
      <c r="L17" s="133"/>
      <c r="M17" s="133"/>
      <c r="N17" s="133"/>
      <c r="O17" s="133"/>
      <c r="P17" s="133"/>
      <c r="Q17" s="133"/>
      <c r="R17" s="133"/>
      <c r="S17" s="133"/>
      <c r="T17" s="133"/>
      <c r="U17" s="133"/>
      <c r="V17" s="133"/>
      <c r="W17" s="133"/>
      <c r="X17" s="133"/>
      <c r="Y17" s="134"/>
      <c r="Z17" s="88">
        <f>IFERROR(AVERAGEIFS(AC18:AC18,AC18:AC18,"&lt;&gt;ND"),"ND")</f>
        <v>100</v>
      </c>
      <c r="AB17" s="52"/>
      <c r="AC17" s="52"/>
      <c r="AD17" s="53"/>
      <c r="AE17" s="53"/>
      <c r="AF17" s="52"/>
      <c r="AG17" s="52"/>
      <c r="AH17" s="52"/>
    </row>
    <row r="18" spans="2:34" s="51" customFormat="1" ht="47.25" x14ac:dyDescent="0.25">
      <c r="B18" s="59" t="s">
        <v>45</v>
      </c>
      <c r="C18" s="92" t="s">
        <v>99</v>
      </c>
      <c r="D18" s="97" t="s">
        <v>108</v>
      </c>
      <c r="E18" s="97" t="s">
        <v>109</v>
      </c>
      <c r="F18" s="93" t="s">
        <v>119</v>
      </c>
      <c r="G18" s="115" t="s">
        <v>35</v>
      </c>
      <c r="H18" s="115" t="s">
        <v>38</v>
      </c>
      <c r="I18" s="115">
        <v>2016</v>
      </c>
      <c r="J18" s="115">
        <v>29.7</v>
      </c>
      <c r="K18" s="115">
        <v>33.299999999999997</v>
      </c>
      <c r="L18" s="115">
        <v>34.5</v>
      </c>
      <c r="M18" s="115">
        <v>35</v>
      </c>
      <c r="N18" s="115">
        <v>32.1</v>
      </c>
      <c r="O18" s="115">
        <v>32.299999999999997</v>
      </c>
      <c r="P18" s="115">
        <v>33.4</v>
      </c>
      <c r="Q18" s="115">
        <v>33.6</v>
      </c>
      <c r="R18" s="115">
        <v>34.700000000000003</v>
      </c>
      <c r="S18" s="115">
        <v>34.9</v>
      </c>
      <c r="T18" s="115">
        <v>31.2</v>
      </c>
      <c r="U18" s="115">
        <v>34.5</v>
      </c>
      <c r="V18" s="115">
        <v>32</v>
      </c>
      <c r="W18" s="115">
        <v>35.200000000000003</v>
      </c>
      <c r="X18" s="115">
        <v>32.299999999999997</v>
      </c>
      <c r="Y18" s="115">
        <v>33.700000000000003</v>
      </c>
      <c r="Z18" s="60">
        <f>IF(OR(P18="",Y18=""),"Llenar",IF(OR(Y18="ND",P18="ND"),"ND",IF(G18="Ascendente",Y18/P18*100,IF(AND(G18="Descendente",P18=0,Y18=0),100,IF(AND(G18="Descendente",P18=0,Y18&lt;&gt;0),0,IF(G18="Descendente",P18/Y18*100,IF(AND(G18="No_definido",H18="Máximo permisible"),IF(Y18&lt;=P18,100,0),IF(AND(G18="No_definido",H18="Mínimo permisible"),IF(Y18&gt;=P18,100,0),"Llenar"))))))))</f>
        <v>100.89820359281438</v>
      </c>
      <c r="AB18" s="52"/>
      <c r="AC18" s="52">
        <f t="shared" ref="AC18" si="2">IF(Z18="Llenar","",IF(OR(Z18="INDET",Z18="Llenar",Z18="ND"),"ND",IF(Z18&gt;=100,100,Z18)))</f>
        <v>100</v>
      </c>
      <c r="AD18" s="53"/>
      <c r="AE18" s="53"/>
      <c r="AF18" s="52"/>
      <c r="AG18" s="52"/>
      <c r="AH18" s="52"/>
    </row>
    <row r="19" spans="2:34" s="51" customFormat="1" ht="29.25" customHeight="1" x14ac:dyDescent="0.25">
      <c r="B19" s="56" t="s">
        <v>10</v>
      </c>
      <c r="C19" s="150" t="s">
        <v>57</v>
      </c>
      <c r="D19" s="151"/>
      <c r="E19" s="151"/>
      <c r="F19" s="151"/>
      <c r="G19" s="151"/>
      <c r="H19" s="151"/>
      <c r="I19" s="151"/>
      <c r="J19" s="151"/>
      <c r="K19" s="151"/>
      <c r="L19" s="151"/>
      <c r="M19" s="151"/>
      <c r="N19" s="151"/>
      <c r="O19" s="151"/>
      <c r="P19" s="151"/>
      <c r="Q19" s="151"/>
      <c r="R19" s="151"/>
      <c r="S19" s="151"/>
      <c r="T19" s="151"/>
      <c r="U19" s="151"/>
      <c r="V19" s="151"/>
      <c r="W19" s="151"/>
      <c r="X19" s="151"/>
      <c r="Y19" s="152"/>
      <c r="Z19" s="58">
        <f>IFERROR(AVERAGEIFS(AC20,AC20,"&lt;&gt;ND"),"ND")</f>
        <v>80.670611439842205</v>
      </c>
      <c r="AB19" s="52"/>
      <c r="AC19" s="52"/>
      <c r="AD19" s="53"/>
      <c r="AE19" s="53"/>
      <c r="AF19" s="52"/>
      <c r="AG19" s="52"/>
      <c r="AH19" s="52"/>
    </row>
    <row r="20" spans="2:34" s="51" customFormat="1" ht="47.25" x14ac:dyDescent="0.25">
      <c r="B20" s="62" t="s">
        <v>11</v>
      </c>
      <c r="C20" s="99" t="s">
        <v>98</v>
      </c>
      <c r="D20" s="100" t="s">
        <v>106</v>
      </c>
      <c r="E20" s="100" t="s">
        <v>107</v>
      </c>
      <c r="F20" s="101" t="s">
        <v>118</v>
      </c>
      <c r="G20" s="113" t="s">
        <v>35</v>
      </c>
      <c r="H20" s="113" t="s">
        <v>40</v>
      </c>
      <c r="I20" s="116">
        <v>2014</v>
      </c>
      <c r="J20" s="117">
        <v>114.78</v>
      </c>
      <c r="K20" s="116">
        <v>126.82</v>
      </c>
      <c r="L20" s="116">
        <v>131.11000000000001</v>
      </c>
      <c r="M20" s="116">
        <v>135.54</v>
      </c>
      <c r="N20" s="116">
        <v>121.24</v>
      </c>
      <c r="O20" s="116">
        <v>151.07</v>
      </c>
      <c r="P20" s="116">
        <v>152.1</v>
      </c>
      <c r="Q20" s="116">
        <v>153.1</v>
      </c>
      <c r="R20" s="116">
        <v>154.1</v>
      </c>
      <c r="S20" s="116">
        <v>157.19999999999999</v>
      </c>
      <c r="T20" s="116">
        <v>167.8</v>
      </c>
      <c r="U20" s="116">
        <v>173.93</v>
      </c>
      <c r="V20" s="116">
        <v>177.59</v>
      </c>
      <c r="W20" s="116">
        <v>139.25</v>
      </c>
      <c r="X20" s="116">
        <v>137.5</v>
      </c>
      <c r="Y20" s="116">
        <v>122.7</v>
      </c>
      <c r="Z20" s="65">
        <f>IF(OR(P20="",Y20=""),"Llenar",IF(OR(Y20="ND",P20="ND"),"ND",IF(G20="Ascendente",Y20/P20*100,IF(AND(G20="Descendente",P20=0,Y20=0),100,IF(AND(G20="Descendente",P20=0,Y20&lt;&gt;0),0,IF(G20="Descendente",P20/Y20*100,IF(AND(G20="No_definido",H20="Máximo permisible"),IF(Y20&lt;=P20,100,0),IF(AND(G20="No_definido",H20="Mínimo permisible"),IF(Y20&gt;=P20,100,0),"Llenar"))))))))</f>
        <v>80.670611439842205</v>
      </c>
      <c r="AB20" s="52"/>
      <c r="AC20" s="52">
        <f>IF(Z20="Llenar","",IF(OR(Z20="INDET",Z20="Llenar",Z20="ND"),"ND",IF(Z20&gt;=100,100,Z20)))</f>
        <v>80.670611439842205</v>
      </c>
      <c r="AD20" s="53"/>
      <c r="AE20" s="53"/>
      <c r="AF20" s="52"/>
      <c r="AG20" s="52"/>
      <c r="AH20" s="52"/>
    </row>
    <row r="21" spans="2:34" s="51" customFormat="1" ht="33" customHeight="1" x14ac:dyDescent="0.25">
      <c r="B21" s="87" t="s">
        <v>12</v>
      </c>
      <c r="C21" s="129" t="s">
        <v>97</v>
      </c>
      <c r="D21" s="130"/>
      <c r="E21" s="130"/>
      <c r="F21" s="130"/>
      <c r="G21" s="130"/>
      <c r="H21" s="130"/>
      <c r="I21" s="130"/>
      <c r="J21" s="130"/>
      <c r="K21" s="130"/>
      <c r="L21" s="130"/>
      <c r="M21" s="130"/>
      <c r="N21" s="130"/>
      <c r="O21" s="130"/>
      <c r="P21" s="130"/>
      <c r="Q21" s="130"/>
      <c r="R21" s="130"/>
      <c r="S21" s="130"/>
      <c r="T21" s="130"/>
      <c r="U21" s="130"/>
      <c r="V21" s="130"/>
      <c r="W21" s="130"/>
      <c r="X21" s="130"/>
      <c r="Y21" s="131"/>
      <c r="Z21" s="88">
        <f>IFERROR(AVERAGEIFS(AC22,AC22,"&lt;&gt;ND"),"ND")</f>
        <v>100</v>
      </c>
      <c r="AB21" s="52"/>
      <c r="AC21" s="52"/>
      <c r="AD21" s="53"/>
      <c r="AE21" s="53"/>
      <c r="AF21" s="52"/>
      <c r="AG21" s="52"/>
      <c r="AH21" s="52"/>
    </row>
    <row r="22" spans="2:34" s="51" customFormat="1" ht="47.25" x14ac:dyDescent="0.25">
      <c r="B22" s="62" t="s">
        <v>46</v>
      </c>
      <c r="C22" s="105" t="s">
        <v>96</v>
      </c>
      <c r="D22" s="106" t="s">
        <v>106</v>
      </c>
      <c r="E22" s="106" t="s">
        <v>107</v>
      </c>
      <c r="F22" s="107" t="s">
        <v>8</v>
      </c>
      <c r="G22" s="114" t="s">
        <v>35</v>
      </c>
      <c r="H22" s="114" t="s">
        <v>38</v>
      </c>
      <c r="I22" s="118">
        <v>2015</v>
      </c>
      <c r="J22" s="119">
        <v>46.7</v>
      </c>
      <c r="K22" s="118">
        <v>51.8</v>
      </c>
      <c r="L22" s="118">
        <v>54.4</v>
      </c>
      <c r="M22" s="118">
        <v>56.9</v>
      </c>
      <c r="N22" s="118">
        <v>41.4</v>
      </c>
      <c r="O22" s="118">
        <v>55</v>
      </c>
      <c r="P22" s="118">
        <v>56.3</v>
      </c>
      <c r="Q22" s="118">
        <v>57.4</v>
      </c>
      <c r="R22" s="118">
        <v>58.6</v>
      </c>
      <c r="S22" s="118">
        <v>60.7</v>
      </c>
      <c r="T22" s="118">
        <v>51</v>
      </c>
      <c r="U22" s="118">
        <v>53.2</v>
      </c>
      <c r="V22" s="118">
        <v>55.8</v>
      </c>
      <c r="W22" s="118">
        <v>51.1</v>
      </c>
      <c r="X22" s="118">
        <v>55</v>
      </c>
      <c r="Y22" s="118">
        <v>58.8</v>
      </c>
      <c r="Z22" s="65">
        <f>IF(OR(P22="",Y22=""),"Llenar",IF(OR(Y22="ND",P22="ND"),"ND",IF(G22="Ascendente",Y22/P22*100,IF(AND(G22="Descendente",P22=0,Y22=0),100,IF(AND(G22="Descendente",P22=0,Y22&lt;&gt;0),0,IF(G22="Descendente",P22/Y22*100,IF(AND(G22="No_definido",H22="Máximo permisible"),IF(Y22&lt;=P22,100,0),IF(AND(G22="No_definido",H22="Mínimo permisible"),IF(Y22&gt;=P22,100,0),"Llenar"))))))))</f>
        <v>104.44049733570159</v>
      </c>
      <c r="AB22" s="52"/>
      <c r="AC22" s="52">
        <f>IF(Z22="Llenar","",IF(OR(Z22="INDET",Z22="Llenar",Z22="ND"),"ND",IF(Z22&gt;=100,100,Z22)))</f>
        <v>100</v>
      </c>
      <c r="AD22" s="53"/>
      <c r="AE22" s="53"/>
      <c r="AF22" s="52"/>
      <c r="AG22" s="52"/>
      <c r="AH22" s="52"/>
    </row>
    <row r="23" spans="2:34" s="51" customFormat="1" ht="32.25" customHeight="1" x14ac:dyDescent="0.25">
      <c r="B23" s="87" t="s">
        <v>13</v>
      </c>
      <c r="C23" s="129" t="s">
        <v>95</v>
      </c>
      <c r="D23" s="130"/>
      <c r="E23" s="130"/>
      <c r="F23" s="130"/>
      <c r="G23" s="130"/>
      <c r="H23" s="130"/>
      <c r="I23" s="130"/>
      <c r="J23" s="130"/>
      <c r="K23" s="130"/>
      <c r="L23" s="130"/>
      <c r="M23" s="130"/>
      <c r="N23" s="130"/>
      <c r="O23" s="130"/>
      <c r="P23" s="130"/>
      <c r="Q23" s="130"/>
      <c r="R23" s="130"/>
      <c r="S23" s="130"/>
      <c r="T23" s="130"/>
      <c r="U23" s="130"/>
      <c r="V23" s="130"/>
      <c r="W23" s="130"/>
      <c r="X23" s="130"/>
      <c r="Y23" s="131"/>
      <c r="Z23" s="88">
        <f>IFERROR(AVERAGEIFS(AC24,AC24,"&lt;&gt;ND"),"ND")</f>
        <v>100</v>
      </c>
      <c r="AB23" s="52"/>
      <c r="AC23" s="52"/>
      <c r="AD23" s="53"/>
      <c r="AE23" s="53"/>
      <c r="AF23" s="52"/>
      <c r="AG23" s="52"/>
      <c r="AH23" s="52"/>
    </row>
    <row r="24" spans="2:34" s="51" customFormat="1" ht="47.25" x14ac:dyDescent="0.25">
      <c r="B24" s="62" t="s">
        <v>47</v>
      </c>
      <c r="C24" s="105" t="s">
        <v>94</v>
      </c>
      <c r="D24" s="106" t="s">
        <v>106</v>
      </c>
      <c r="E24" s="106" t="s">
        <v>107</v>
      </c>
      <c r="F24" s="107" t="s">
        <v>8</v>
      </c>
      <c r="G24" s="114" t="s">
        <v>35</v>
      </c>
      <c r="H24" s="114" t="s">
        <v>38</v>
      </c>
      <c r="I24" s="118">
        <v>2015</v>
      </c>
      <c r="J24" s="119">
        <v>7.2</v>
      </c>
      <c r="K24" s="118">
        <v>8.1</v>
      </c>
      <c r="L24" s="118">
        <v>8.6</v>
      </c>
      <c r="M24" s="118">
        <v>9.1</v>
      </c>
      <c r="N24" s="118">
        <v>9.6999999999999993</v>
      </c>
      <c r="O24" s="118">
        <v>6.4</v>
      </c>
      <c r="P24" s="118">
        <v>6.3</v>
      </c>
      <c r="Q24" s="118">
        <v>6.2</v>
      </c>
      <c r="R24" s="118">
        <v>6.1</v>
      </c>
      <c r="S24" s="118">
        <v>9.6999999999999993</v>
      </c>
      <c r="T24" s="118">
        <v>6.7</v>
      </c>
      <c r="U24" s="118">
        <v>6.1</v>
      </c>
      <c r="V24" s="118">
        <v>5.4</v>
      </c>
      <c r="W24" s="118">
        <v>31.9</v>
      </c>
      <c r="X24" s="118">
        <v>6.8</v>
      </c>
      <c r="Y24" s="118">
        <v>8</v>
      </c>
      <c r="Z24" s="65">
        <f>IF(OR(P24="",Y24=""),"Llenar",IF(OR(Y24="ND",P24="ND"),"ND",IF(G24="Ascendente",Y24/P24*100,IF(AND(G24="Descendente",P24=0,Y24=0),100,IF(AND(G24="Descendente",P24=0,Y24&lt;&gt;0),0,IF(G24="Descendente",P24/Y24*100,IF(AND(G24="No_definido",H24="Máximo permisible"),IF(Y24&lt;=P24,100,0),IF(AND(G24="No_definido",H24="Mínimo permisible"),IF(Y24&gt;=P24,100,0),"Llenar"))))))))</f>
        <v>126.98412698412697</v>
      </c>
      <c r="AB24" s="52"/>
      <c r="AC24" s="52">
        <f>IF(Z24="Llenar","",IF(OR(Z24="INDET",Z24="Llenar",Z24="ND"),"ND",IF(Z24&gt;=100,100,Z24)))</f>
        <v>100</v>
      </c>
      <c r="AD24" s="53"/>
      <c r="AE24" s="53"/>
      <c r="AF24" s="52"/>
      <c r="AG24" s="52"/>
      <c r="AH24" s="52"/>
    </row>
    <row r="25" spans="2:34" s="51" customFormat="1" ht="32.25" customHeight="1" x14ac:dyDescent="0.25">
      <c r="B25" s="87" t="s">
        <v>14</v>
      </c>
      <c r="C25" s="129" t="s">
        <v>93</v>
      </c>
      <c r="D25" s="130"/>
      <c r="E25" s="130"/>
      <c r="F25" s="130"/>
      <c r="G25" s="130"/>
      <c r="H25" s="130"/>
      <c r="I25" s="130"/>
      <c r="J25" s="130"/>
      <c r="K25" s="130"/>
      <c r="L25" s="130"/>
      <c r="M25" s="130"/>
      <c r="N25" s="130"/>
      <c r="O25" s="130"/>
      <c r="P25" s="130"/>
      <c r="Q25" s="130"/>
      <c r="R25" s="130"/>
      <c r="S25" s="130"/>
      <c r="T25" s="130"/>
      <c r="U25" s="130"/>
      <c r="V25" s="130"/>
      <c r="W25" s="130"/>
      <c r="X25" s="130"/>
      <c r="Y25" s="131"/>
      <c r="Z25" s="88">
        <f>IFERROR(AVERAGEIFS(AC26:AC28,AC26:AC28,"&lt;&gt;ND"),"ND")</f>
        <v>96.103896103896091</v>
      </c>
      <c r="AB25" s="52"/>
      <c r="AC25" s="52"/>
      <c r="AD25" s="53"/>
      <c r="AE25" s="53"/>
      <c r="AF25" s="52"/>
      <c r="AG25" s="52"/>
      <c r="AH25" s="52"/>
    </row>
    <row r="26" spans="2:34" s="51" customFormat="1" ht="47.25" x14ac:dyDescent="0.25">
      <c r="B26" s="62" t="s">
        <v>48</v>
      </c>
      <c r="C26" s="103" t="s">
        <v>90</v>
      </c>
      <c r="D26" s="103" t="s">
        <v>106</v>
      </c>
      <c r="E26" s="103" t="s">
        <v>107</v>
      </c>
      <c r="F26" s="104" t="s">
        <v>8</v>
      </c>
      <c r="G26" s="115" t="s">
        <v>35</v>
      </c>
      <c r="H26" s="115" t="s">
        <v>38</v>
      </c>
      <c r="I26" s="120">
        <v>2015</v>
      </c>
      <c r="J26" s="121">
        <v>19.5</v>
      </c>
      <c r="K26" s="120">
        <v>20.2</v>
      </c>
      <c r="L26" s="120">
        <v>20.9</v>
      </c>
      <c r="M26" s="120">
        <v>21.6</v>
      </c>
      <c r="N26" s="120">
        <v>4.5999999999999996</v>
      </c>
      <c r="O26" s="120">
        <v>22.7</v>
      </c>
      <c r="P26" s="120">
        <v>23.1</v>
      </c>
      <c r="Q26" s="120">
        <v>23.5</v>
      </c>
      <c r="R26" s="120">
        <v>23.9</v>
      </c>
      <c r="S26" s="120">
        <v>24.9</v>
      </c>
      <c r="T26" s="120">
        <v>21.4</v>
      </c>
      <c r="U26" s="120">
        <v>22.4</v>
      </c>
      <c r="V26" s="120">
        <v>23.5</v>
      </c>
      <c r="W26" s="120">
        <v>27.5</v>
      </c>
      <c r="X26" s="120">
        <v>25.2</v>
      </c>
      <c r="Y26" s="120">
        <v>20.399999999999999</v>
      </c>
      <c r="Z26" s="65">
        <f>IF(OR(P26="",Y26=""),"Llenar",IF(OR(Y26="ND",P26="ND"),"ND",IF(G26="Ascendente",Y26/P26*100,IF(AND(G26="Descendente",P26=0,Y26=0),100,IF(AND(G26="Descendente",P26=0,Y26&lt;&gt;0),0,IF(G26="Descendente",P26/Y26*100,IF(AND(G26="No_definido",H26="Máximo permisible"),IF(Y26&lt;=P26,100,0),IF(AND(G26="No_definido",H26="Mínimo permisible"),IF(Y26&gt;=P26,100,0),"Llenar"))))))))</f>
        <v>88.3116883116883</v>
      </c>
      <c r="AB26" s="52"/>
      <c r="AC26" s="52">
        <f>IF(Z26="Llenar","",IF(OR(Z26="INDET",Z26="Llenar",Z26="ND"),"ND",IF(Z26&gt;=100,100,Z26)))</f>
        <v>88.3116883116883</v>
      </c>
      <c r="AD26" s="53"/>
      <c r="AE26" s="53"/>
      <c r="AF26" s="52"/>
      <c r="AG26" s="52"/>
      <c r="AH26" s="52"/>
    </row>
    <row r="27" spans="2:34" s="51" customFormat="1" ht="47.25" x14ac:dyDescent="0.25">
      <c r="B27" s="62" t="s">
        <v>59</v>
      </c>
      <c r="C27" s="66" t="s">
        <v>91</v>
      </c>
      <c r="D27" s="66" t="s">
        <v>106</v>
      </c>
      <c r="E27" s="66" t="s">
        <v>107</v>
      </c>
      <c r="F27" s="64" t="s">
        <v>8</v>
      </c>
      <c r="G27" s="122" t="s">
        <v>35</v>
      </c>
      <c r="H27" s="122" t="s">
        <v>38</v>
      </c>
      <c r="I27" s="123">
        <v>2014</v>
      </c>
      <c r="J27" s="124">
        <v>16.7</v>
      </c>
      <c r="K27" s="123">
        <v>22.3</v>
      </c>
      <c r="L27" s="123">
        <v>24.5</v>
      </c>
      <c r="M27" s="123">
        <v>27</v>
      </c>
      <c r="N27" s="123">
        <v>36</v>
      </c>
      <c r="O27" s="123">
        <v>38</v>
      </c>
      <c r="P27" s="123">
        <v>41.8</v>
      </c>
      <c r="Q27" s="123">
        <v>45.6</v>
      </c>
      <c r="R27" s="123">
        <v>49.5</v>
      </c>
      <c r="S27" s="123">
        <v>50.4</v>
      </c>
      <c r="T27" s="123">
        <v>20.5</v>
      </c>
      <c r="U27" s="123">
        <v>22.5</v>
      </c>
      <c r="V27" s="123">
        <v>25.4</v>
      </c>
      <c r="W27" s="123">
        <v>42.1</v>
      </c>
      <c r="X27" s="123">
        <v>38</v>
      </c>
      <c r="Y27" s="123">
        <v>41.8</v>
      </c>
      <c r="Z27" s="65">
        <f>IF(OR(P27="",Y27=""),"Llenar",IF(OR(Y27="ND",P27="ND"),"ND",IF(G27="Ascendente",Y27/P27*100,IF(AND(G27="Descendente",P27=0,Y27=0),100,IF(AND(G27="Descendente",P27=0,Y27&lt;&gt;0),0,IF(G27="Descendente",P27/Y27*100,IF(AND(G27="No_definido",H27="Máximo permisible"),IF(Y27&lt;=P27,100,0),IF(AND(G27="No_definido",H27="Mínimo permisible"),IF(Y27&gt;=P27,100,0),"Llenar"))))))))</f>
        <v>100</v>
      </c>
      <c r="AB27" s="52"/>
      <c r="AC27" s="52">
        <f>IF(Z27="Llenar","",IF(OR(Z27="INDET",Z27="Llenar",Z27="ND"),"ND",IF(Z27&gt;=100,100,Z27)))</f>
        <v>100</v>
      </c>
      <c r="AD27" s="53"/>
      <c r="AE27" s="53"/>
      <c r="AF27" s="52"/>
      <c r="AG27" s="52"/>
      <c r="AH27" s="52"/>
    </row>
    <row r="28" spans="2:34" s="51" customFormat="1" ht="47.25" x14ac:dyDescent="0.25">
      <c r="B28" s="62" t="s">
        <v>60</v>
      </c>
      <c r="C28" s="100" t="s">
        <v>92</v>
      </c>
      <c r="D28" s="100" t="s">
        <v>106</v>
      </c>
      <c r="E28" s="100" t="s">
        <v>107</v>
      </c>
      <c r="F28" s="101" t="s">
        <v>8</v>
      </c>
      <c r="G28" s="113" t="s">
        <v>35</v>
      </c>
      <c r="H28" s="113" t="s">
        <v>38</v>
      </c>
      <c r="I28" s="116">
        <v>2014</v>
      </c>
      <c r="J28" s="117">
        <v>31.03</v>
      </c>
      <c r="K28" s="116">
        <v>35.93</v>
      </c>
      <c r="L28" s="116">
        <v>37.72</v>
      </c>
      <c r="M28" s="116">
        <v>39.61</v>
      </c>
      <c r="N28" s="116">
        <v>14.1</v>
      </c>
      <c r="O28" s="116">
        <v>27.6</v>
      </c>
      <c r="P28" s="116">
        <v>28</v>
      </c>
      <c r="Q28" s="116">
        <v>28.4</v>
      </c>
      <c r="R28" s="116">
        <v>28.8</v>
      </c>
      <c r="S28" s="116">
        <v>29.2</v>
      </c>
      <c r="T28" s="116">
        <v>27.9</v>
      </c>
      <c r="U28" s="116">
        <v>27.2</v>
      </c>
      <c r="V28" s="116">
        <v>27.1</v>
      </c>
      <c r="W28" s="116">
        <v>27.9</v>
      </c>
      <c r="X28" s="116">
        <v>27.6</v>
      </c>
      <c r="Y28" s="116">
        <v>28</v>
      </c>
      <c r="Z28" s="65">
        <f>IF(OR(P28="",Y28=""),"Llenar",IF(OR(Y28="ND",P28="ND"),"ND",IF(G28="Ascendente",Y28/P28*100,IF(AND(G28="Descendente",P28=0,Y28=0),100,IF(AND(G28="Descendente",P28=0,Y28&lt;&gt;0),0,IF(G28="Descendente",P28/Y28*100,IF(AND(G28="No_definido",H28="Máximo permisible"),IF(Y28&lt;=P28,100,0),IF(AND(G28="No_definido",H28="Mínimo permisible"),IF(Y28&gt;=P28,100,0),"Llenar"))))))))</f>
        <v>100</v>
      </c>
      <c r="AB28" s="52"/>
      <c r="AC28" s="52">
        <f>IF(Z28="Llenar","",IF(OR(Z28="INDET",Z28="Llenar",Z28="ND"),"ND",IF(Z28&gt;=100,100,Z28)))</f>
        <v>100</v>
      </c>
      <c r="AD28" s="53"/>
      <c r="AE28" s="53"/>
      <c r="AF28" s="52"/>
      <c r="AG28" s="52"/>
      <c r="AH28" s="52"/>
    </row>
    <row r="29" spans="2:34" s="51" customFormat="1" ht="29.25" customHeight="1" x14ac:dyDescent="0.25">
      <c r="B29" s="108" t="s">
        <v>15</v>
      </c>
      <c r="C29" s="108" t="s">
        <v>58</v>
      </c>
      <c r="D29" s="109"/>
      <c r="E29" s="109"/>
      <c r="F29" s="110"/>
      <c r="G29" s="109"/>
      <c r="H29" s="109"/>
      <c r="I29" s="110"/>
      <c r="J29" s="109"/>
      <c r="K29" s="110"/>
      <c r="L29" s="110"/>
      <c r="M29" s="110"/>
      <c r="N29" s="110"/>
      <c r="O29" s="110"/>
      <c r="P29" s="110"/>
      <c r="Q29" s="110"/>
      <c r="R29" s="110"/>
      <c r="S29" s="110"/>
      <c r="T29" s="110"/>
      <c r="U29" s="110"/>
      <c r="V29" s="110"/>
      <c r="W29" s="110"/>
      <c r="X29" s="110"/>
      <c r="Y29" s="111"/>
      <c r="Z29" s="88">
        <f>IFERROR(AVERAGEIFS(AC30,AC30,"&lt;&gt;ND"),"ND")</f>
        <v>100</v>
      </c>
      <c r="AB29" s="52"/>
      <c r="AC29" s="52"/>
      <c r="AD29" s="53"/>
      <c r="AE29" s="53"/>
      <c r="AF29" s="52"/>
      <c r="AG29" s="52"/>
      <c r="AH29" s="52"/>
    </row>
    <row r="30" spans="2:34" s="51" customFormat="1" ht="47.25" x14ac:dyDescent="0.25">
      <c r="B30" s="62" t="s">
        <v>16</v>
      </c>
      <c r="C30" s="106" t="s">
        <v>89</v>
      </c>
      <c r="D30" s="106" t="s">
        <v>106</v>
      </c>
      <c r="E30" s="106" t="s">
        <v>107</v>
      </c>
      <c r="F30" s="107" t="s">
        <v>118</v>
      </c>
      <c r="G30" s="114" t="s">
        <v>35</v>
      </c>
      <c r="H30" s="114" t="s">
        <v>40</v>
      </c>
      <c r="I30" s="118">
        <v>2007</v>
      </c>
      <c r="J30" s="119">
        <v>1.89</v>
      </c>
      <c r="K30" s="118">
        <v>2.02</v>
      </c>
      <c r="L30" s="118">
        <v>2.16</v>
      </c>
      <c r="M30" s="118">
        <v>2.31</v>
      </c>
      <c r="N30" s="118">
        <v>1.81</v>
      </c>
      <c r="O30" s="118">
        <v>1.99</v>
      </c>
      <c r="P30" s="118">
        <v>2.02</v>
      </c>
      <c r="Q30" s="118">
        <v>2.0499999999999998</v>
      </c>
      <c r="R30" s="118">
        <v>2.08</v>
      </c>
      <c r="S30" s="118">
        <v>2.19</v>
      </c>
      <c r="T30" s="118">
        <v>1.7</v>
      </c>
      <c r="U30" s="118">
        <v>2.35</v>
      </c>
      <c r="V30" s="118">
        <v>1.81</v>
      </c>
      <c r="W30" s="118">
        <v>1.87</v>
      </c>
      <c r="X30" s="118">
        <v>2.2200000000000002</v>
      </c>
      <c r="Y30" s="118">
        <v>2.0579999999999998</v>
      </c>
      <c r="Z30" s="65">
        <f>IF(OR(P30="",Y30=""),"Llenar",IF(OR(Y30="ND",P30="ND"),"ND",IF(G30="Ascendente",Y30/P30*100,IF(AND(G30="Descendente",P30=0,Y30=0),100,IF(AND(G30="Descendente",P30=0,Y30&lt;&gt;0),0,IF(G30="Descendente",P30/Y30*100,IF(AND(G30="No_definido",H30="Máximo permisible"),IF(Y30&lt;=P30,100,0),IF(AND(G30="No_definido",H30="Mínimo permisible"),IF(Y30&gt;=P30,100,0),"Llenar"))))))))</f>
        <v>101.88118811881188</v>
      </c>
      <c r="AB30" s="52"/>
      <c r="AC30" s="52">
        <f>IF(Z30="Llenar","",IF(OR(Z30="INDET",Z30="Llenar",Z30="ND"),"ND",IF(Z30&gt;=100,100,Z30)))</f>
        <v>100</v>
      </c>
      <c r="AD30" s="53"/>
      <c r="AE30" s="53"/>
      <c r="AF30" s="52"/>
      <c r="AG30" s="52"/>
      <c r="AH30" s="52"/>
    </row>
    <row r="31" spans="2:34" s="51" customFormat="1" ht="33" customHeight="1" x14ac:dyDescent="0.25">
      <c r="B31" s="87" t="s">
        <v>17</v>
      </c>
      <c r="C31" s="129" t="s">
        <v>85</v>
      </c>
      <c r="D31" s="130"/>
      <c r="E31" s="130"/>
      <c r="F31" s="130"/>
      <c r="G31" s="130"/>
      <c r="H31" s="130"/>
      <c r="I31" s="130"/>
      <c r="J31" s="130"/>
      <c r="K31" s="130"/>
      <c r="L31" s="130"/>
      <c r="M31" s="130"/>
      <c r="N31" s="130"/>
      <c r="O31" s="130"/>
      <c r="P31" s="130"/>
      <c r="Q31" s="130"/>
      <c r="R31" s="130"/>
      <c r="S31" s="130"/>
      <c r="T31" s="130"/>
      <c r="U31" s="130"/>
      <c r="V31" s="130"/>
      <c r="W31" s="130"/>
      <c r="X31" s="130"/>
      <c r="Y31" s="98"/>
      <c r="Z31" s="88">
        <f>IFERROR(AVERAGEIFS(AC32:AC33,AC32:AC33,"&lt;&gt;ND"),"ND")</f>
        <v>99.746192893401016</v>
      </c>
      <c r="AB31" s="52"/>
      <c r="AC31" s="52"/>
      <c r="AD31" s="53"/>
      <c r="AE31" s="53"/>
      <c r="AF31" s="52"/>
      <c r="AG31" s="52"/>
      <c r="AH31" s="52"/>
    </row>
    <row r="32" spans="2:34" s="51" customFormat="1" ht="31.5" x14ac:dyDescent="0.25">
      <c r="B32" s="62" t="s">
        <v>49</v>
      </c>
      <c r="C32" s="102" t="s">
        <v>83</v>
      </c>
      <c r="D32" s="103" t="s">
        <v>106</v>
      </c>
      <c r="E32" s="103" t="s">
        <v>110</v>
      </c>
      <c r="F32" s="104" t="s">
        <v>8</v>
      </c>
      <c r="G32" s="115" t="s">
        <v>35</v>
      </c>
      <c r="H32" s="115" t="s">
        <v>38</v>
      </c>
      <c r="I32" s="120">
        <v>2016</v>
      </c>
      <c r="J32" s="121">
        <v>0.89</v>
      </c>
      <c r="K32" s="120">
        <v>94.5</v>
      </c>
      <c r="L32" s="120">
        <v>96.3</v>
      </c>
      <c r="M32" s="120">
        <v>98.2</v>
      </c>
      <c r="N32" s="120">
        <v>95</v>
      </c>
      <c r="O32" s="120">
        <v>97</v>
      </c>
      <c r="P32" s="120">
        <v>98.5</v>
      </c>
      <c r="Q32" s="120">
        <v>100</v>
      </c>
      <c r="R32" s="120">
        <v>100</v>
      </c>
      <c r="S32" s="120">
        <v>100</v>
      </c>
      <c r="T32" s="120">
        <v>73.900000000000006</v>
      </c>
      <c r="U32" s="120">
        <v>88</v>
      </c>
      <c r="V32" s="120">
        <v>98.2</v>
      </c>
      <c r="W32" s="120">
        <v>92</v>
      </c>
      <c r="X32" s="120">
        <v>95</v>
      </c>
      <c r="Y32" s="120">
        <v>98</v>
      </c>
      <c r="Z32" s="65">
        <f>IF(OR(P32="",Y32=""),"Llenar",IF(OR(Y32="ND",P32="ND"),"ND",IF(G32="Ascendente",Y32/P32*100,IF(AND(G32="Descendente",P32=0,Y32=0),100,IF(AND(G32="Descendente",P32=0,Y32&lt;&gt;0),0,IF(G32="Descendente",P32/Y32*100,IF(AND(G32="No_definido",H32="Máximo permisible"),IF(Y32&lt;=P32,100,0),IF(AND(G32="No_definido",H32="Mínimo permisible"),IF(Y32&gt;=P32,100,0),"Llenar"))))))))</f>
        <v>99.492385786802032</v>
      </c>
      <c r="AB32" s="52"/>
      <c r="AC32" s="52">
        <f>IF(Z32="Llenar","",IF(OR(Z32="INDET",Z32="Llenar",Z32="ND"),"ND",IF(Z32&gt;=100,100,Z32)))</f>
        <v>99.492385786802032</v>
      </c>
      <c r="AD32" s="53"/>
      <c r="AE32" s="53"/>
      <c r="AF32" s="52"/>
      <c r="AG32" s="52"/>
      <c r="AH32" s="52"/>
    </row>
    <row r="33" spans="2:34" s="51" customFormat="1" ht="31.5" x14ac:dyDescent="0.25">
      <c r="B33" s="62" t="s">
        <v>61</v>
      </c>
      <c r="C33" s="99" t="s">
        <v>84</v>
      </c>
      <c r="D33" s="100" t="s">
        <v>106</v>
      </c>
      <c r="E33" s="100" t="s">
        <v>111</v>
      </c>
      <c r="F33" s="101" t="s">
        <v>8</v>
      </c>
      <c r="G33" s="113" t="s">
        <v>35</v>
      </c>
      <c r="H33" s="113" t="s">
        <v>38</v>
      </c>
      <c r="I33" s="116">
        <v>2015</v>
      </c>
      <c r="J33" s="117">
        <v>3.8</v>
      </c>
      <c r="K33" s="116">
        <v>9</v>
      </c>
      <c r="L33" s="116">
        <v>19</v>
      </c>
      <c r="M33" s="116">
        <v>30</v>
      </c>
      <c r="N33" s="116">
        <v>56.3</v>
      </c>
      <c r="O33" s="116">
        <v>75</v>
      </c>
      <c r="P33" s="116">
        <v>80</v>
      </c>
      <c r="Q33" s="116">
        <v>96</v>
      </c>
      <c r="R33" s="116">
        <v>97</v>
      </c>
      <c r="S33" s="116">
        <v>98</v>
      </c>
      <c r="T33" s="116">
        <v>22</v>
      </c>
      <c r="U33" s="116">
        <v>59</v>
      </c>
      <c r="V33" s="116">
        <v>98</v>
      </c>
      <c r="W33" s="116">
        <v>62</v>
      </c>
      <c r="X33" s="116">
        <v>95</v>
      </c>
      <c r="Y33" s="116">
        <v>93</v>
      </c>
      <c r="Z33" s="65">
        <f>IF(OR(P33="",Y33=""),"Llenar",IF(OR(Y33="ND",P33="ND"),"ND",IF(G33="Ascendente",Y33/P33*100,IF(AND(G33="Descendente",P33=0,Y33=0),100,IF(AND(G33="Descendente",P33=0,Y33&lt;&gt;0),0,IF(G33="Descendente",P33/Y33*100,IF(AND(G33="No_definido",H33="Máximo permisible"),IF(Y33&lt;=P33,100,0),IF(AND(G33="No_definido",H33="Mínimo permisible"),IF(Y33&gt;=P33,100,0),"Llenar"))))))))</f>
        <v>116.25000000000001</v>
      </c>
      <c r="AB33" s="52"/>
      <c r="AC33" s="52">
        <f>IF(Z33="Llenar","",IF(OR(Z33="INDET",Z33="Llenar",Z33="ND"),"ND",IF(Z33&gt;=100,100,Z33)))</f>
        <v>100</v>
      </c>
      <c r="AD33" s="53"/>
      <c r="AE33" s="53"/>
      <c r="AF33" s="52"/>
      <c r="AG33" s="52"/>
      <c r="AH33" s="52"/>
    </row>
    <row r="34" spans="2:34" s="51" customFormat="1" ht="30" customHeight="1" x14ac:dyDescent="0.25">
      <c r="B34" s="87" t="s">
        <v>19</v>
      </c>
      <c r="C34" s="129" t="s">
        <v>86</v>
      </c>
      <c r="D34" s="130"/>
      <c r="E34" s="130"/>
      <c r="F34" s="130"/>
      <c r="G34" s="130"/>
      <c r="H34" s="130"/>
      <c r="I34" s="130"/>
      <c r="J34" s="130"/>
      <c r="K34" s="130"/>
      <c r="L34" s="130"/>
      <c r="M34" s="130"/>
      <c r="N34" s="130"/>
      <c r="O34" s="130"/>
      <c r="P34" s="130"/>
      <c r="Q34" s="130"/>
      <c r="R34" s="130"/>
      <c r="S34" s="130"/>
      <c r="T34" s="130"/>
      <c r="U34" s="130"/>
      <c r="V34" s="130"/>
      <c r="W34" s="130"/>
      <c r="X34" s="130"/>
      <c r="Y34" s="131"/>
      <c r="Z34" s="88">
        <f>IFERROR(AVERAGEIFS(AC35:AC37,AC35:AC37,"&lt;&gt;ND"),"ND")</f>
        <v>99.4910941475827</v>
      </c>
      <c r="AB34" s="52"/>
      <c r="AC34" s="52"/>
      <c r="AD34" s="53"/>
      <c r="AE34" s="53"/>
      <c r="AF34" s="52"/>
      <c r="AG34" s="52"/>
      <c r="AH34" s="52"/>
    </row>
    <row r="35" spans="2:34" s="51" customFormat="1" ht="78.75" x14ac:dyDescent="0.25">
      <c r="B35" s="62" t="s">
        <v>50</v>
      </c>
      <c r="C35" s="103" t="s">
        <v>64</v>
      </c>
      <c r="D35" s="103" t="s">
        <v>112</v>
      </c>
      <c r="E35" s="103" t="s">
        <v>113</v>
      </c>
      <c r="F35" s="104" t="s">
        <v>118</v>
      </c>
      <c r="G35" s="115" t="s">
        <v>35</v>
      </c>
      <c r="H35" s="115" t="s">
        <v>38</v>
      </c>
      <c r="I35" s="120">
        <v>2016</v>
      </c>
      <c r="J35" s="121">
        <v>9</v>
      </c>
      <c r="K35" s="120">
        <v>12</v>
      </c>
      <c r="L35" s="120">
        <v>17</v>
      </c>
      <c r="M35" s="120">
        <v>22</v>
      </c>
      <c r="N35" s="120">
        <v>14</v>
      </c>
      <c r="O35" s="120">
        <v>13</v>
      </c>
      <c r="P35" s="120">
        <v>16</v>
      </c>
      <c r="Q35" s="120">
        <v>19</v>
      </c>
      <c r="R35" s="120">
        <v>22</v>
      </c>
      <c r="S35" s="120">
        <v>25</v>
      </c>
      <c r="T35" s="120" t="s">
        <v>5</v>
      </c>
      <c r="U35" s="120">
        <v>7</v>
      </c>
      <c r="V35" s="120">
        <v>8</v>
      </c>
      <c r="W35" s="120">
        <v>10</v>
      </c>
      <c r="X35" s="120">
        <v>13</v>
      </c>
      <c r="Y35" s="120">
        <v>17</v>
      </c>
      <c r="Z35" s="65">
        <f>IF(OR(P35="",Y35=""),"Llenar",IF(OR(Y35="ND",P35="ND"),"ND",IF(G35="Ascendente",Y35/P35*100,IF(AND(G35="Descendente",P35=0,Y35=0),100,IF(AND(G35="Descendente",P35=0,Y35&lt;&gt;0),0,IF(G35="Descendente",P35/Y35*100,IF(AND(G35="No_definido",H35="Máximo permisible"),IF(Y35&lt;=P35,100,0),IF(AND(G35="No_definido",H35="Mínimo permisible"),IF(Y35&gt;=P35,100,0),"Llenar"))))))))</f>
        <v>106.25</v>
      </c>
      <c r="AB35" s="52"/>
      <c r="AC35" s="52">
        <f>IF(Z35="Llenar","",IF(OR(Z35="INDET",Z35="Llenar",Z35="ND"),"ND",IF(Z35&gt;=100,100,Z35)))</f>
        <v>100</v>
      </c>
      <c r="AD35" s="53"/>
      <c r="AE35" s="53"/>
      <c r="AF35" s="52"/>
      <c r="AG35" s="52"/>
      <c r="AH35" s="52"/>
    </row>
    <row r="36" spans="2:34" s="51" customFormat="1" ht="78.75" x14ac:dyDescent="0.25">
      <c r="B36" s="62" t="s">
        <v>62</v>
      </c>
      <c r="C36" s="66" t="s">
        <v>65</v>
      </c>
      <c r="D36" s="66" t="s">
        <v>112</v>
      </c>
      <c r="E36" s="66" t="s">
        <v>113</v>
      </c>
      <c r="F36" s="64" t="s">
        <v>8</v>
      </c>
      <c r="G36" s="122" t="s">
        <v>35</v>
      </c>
      <c r="H36" s="122" t="s">
        <v>38</v>
      </c>
      <c r="I36" s="123">
        <v>2015</v>
      </c>
      <c r="J36" s="124">
        <v>4.4800000000000004</v>
      </c>
      <c r="K36" s="123">
        <v>5.69</v>
      </c>
      <c r="L36" s="123">
        <v>9.77</v>
      </c>
      <c r="M36" s="123">
        <v>15.13</v>
      </c>
      <c r="N36" s="123">
        <v>21</v>
      </c>
      <c r="O36" s="123">
        <v>22.2</v>
      </c>
      <c r="P36" s="123">
        <v>25</v>
      </c>
      <c r="Q36" s="123">
        <v>28</v>
      </c>
      <c r="R36" s="123">
        <v>30.9</v>
      </c>
      <c r="S36" s="123">
        <v>33.799999999999997</v>
      </c>
      <c r="T36" s="123">
        <v>15.5</v>
      </c>
      <c r="U36" s="123">
        <v>18.100000000000001</v>
      </c>
      <c r="V36" s="123">
        <v>25.7</v>
      </c>
      <c r="W36" s="123">
        <v>17.7</v>
      </c>
      <c r="X36" s="123">
        <v>22.2</v>
      </c>
      <c r="Y36" s="123">
        <v>25.55</v>
      </c>
      <c r="Z36" s="65">
        <f>IF(OR(P36="",Y36=""),"Llenar",IF(OR(Y36="ND",P36="ND"),"ND",IF(G36="Ascendente",Y36/P36*100,IF(AND(G36="Descendente",P36=0,Y36=0),100,IF(AND(G36="Descendente",P36=0,Y36&lt;&gt;0),0,IF(G36="Descendente",P36/Y36*100,IF(AND(G36="No_definido",H36="Máximo permisible"),IF(Y36&lt;=P36,100,0),IF(AND(G36="No_definido",H36="Mínimo permisible"),IF(Y36&gt;=P36,100,0),"Llenar"))))))))</f>
        <v>102.2</v>
      </c>
      <c r="AB36" s="52"/>
      <c r="AC36" s="52">
        <f>IF(Z36="Llenar","",IF(OR(Z36="INDET",Z36="Llenar",Z36="ND"),"ND",IF(Z36&gt;=100,100,Z36)))</f>
        <v>100</v>
      </c>
      <c r="AD36" s="53"/>
      <c r="AE36" s="53"/>
      <c r="AF36" s="52"/>
      <c r="AG36" s="52"/>
      <c r="AH36" s="52"/>
    </row>
    <row r="37" spans="2:34" s="51" customFormat="1" ht="78.75" x14ac:dyDescent="0.25">
      <c r="B37" s="62" t="s">
        <v>63</v>
      </c>
      <c r="C37" s="66" t="s">
        <v>66</v>
      </c>
      <c r="D37" s="66" t="s">
        <v>112</v>
      </c>
      <c r="E37" s="66" t="s">
        <v>113</v>
      </c>
      <c r="F37" s="64" t="s">
        <v>8</v>
      </c>
      <c r="G37" s="122" t="s">
        <v>35</v>
      </c>
      <c r="H37" s="122" t="s">
        <v>38</v>
      </c>
      <c r="I37" s="123">
        <v>2016</v>
      </c>
      <c r="J37" s="124">
        <v>15.88</v>
      </c>
      <c r="K37" s="123">
        <v>17.489999999999998</v>
      </c>
      <c r="L37" s="123">
        <v>19.38</v>
      </c>
      <c r="M37" s="123">
        <v>21.41</v>
      </c>
      <c r="N37" s="123">
        <v>28.7</v>
      </c>
      <c r="O37" s="123">
        <v>33.6</v>
      </c>
      <c r="P37" s="123">
        <v>39.299999999999997</v>
      </c>
      <c r="Q37" s="123">
        <v>45.9</v>
      </c>
      <c r="R37" s="123">
        <v>53.8</v>
      </c>
      <c r="S37" s="123">
        <v>62.9</v>
      </c>
      <c r="T37" s="123">
        <v>12.9</v>
      </c>
      <c r="U37" s="123">
        <v>20.5</v>
      </c>
      <c r="V37" s="123">
        <v>28</v>
      </c>
      <c r="W37" s="123">
        <v>29.2</v>
      </c>
      <c r="X37" s="123">
        <v>33.6</v>
      </c>
      <c r="Y37" s="123">
        <v>38.700000000000003</v>
      </c>
      <c r="Z37" s="65">
        <f>IF(OR(P37="",Y37=""),"Llenar",IF(OR(Y37="ND",P37="ND"),"ND",IF(G37="Ascendente",Y37/P37*100,IF(AND(G37="Descendente",P37=0,Y37=0),100,IF(AND(G37="Descendente",P37=0,Y37&lt;&gt;0),0,IF(G37="Descendente",P37/Y37*100,IF(AND(G37="No_definido",H37="Máximo permisible"),IF(Y37&lt;=P37,100,0),IF(AND(G37="No_definido",H37="Mínimo permisible"),IF(Y37&gt;=P37,100,0),"Llenar"))))))))</f>
        <v>98.473282442748115</v>
      </c>
      <c r="AB37" s="52"/>
      <c r="AC37" s="52">
        <f>IF(Z37="Llenar","",IF(OR(Z37="INDET",Z37="Llenar",Z37="ND"),"ND",IF(Z37&gt;=100,100,Z37)))</f>
        <v>98.473282442748115</v>
      </c>
      <c r="AD37" s="53"/>
      <c r="AE37" s="53"/>
      <c r="AF37" s="52"/>
      <c r="AG37" s="52"/>
      <c r="AH37" s="52"/>
    </row>
    <row r="38" spans="2:34" s="51" customFormat="1" ht="31.5" customHeight="1" x14ac:dyDescent="0.25">
      <c r="B38" s="61" t="s">
        <v>20</v>
      </c>
      <c r="C38" s="129" t="s">
        <v>87</v>
      </c>
      <c r="D38" s="130"/>
      <c r="E38" s="130"/>
      <c r="F38" s="130"/>
      <c r="G38" s="130"/>
      <c r="H38" s="130"/>
      <c r="I38" s="130"/>
      <c r="J38" s="130"/>
      <c r="K38" s="130"/>
      <c r="L38" s="130"/>
      <c r="M38" s="130"/>
      <c r="N38" s="130"/>
      <c r="O38" s="130"/>
      <c r="P38" s="130"/>
      <c r="Q38" s="130"/>
      <c r="R38" s="130"/>
      <c r="S38" s="130"/>
      <c r="T38" s="130"/>
      <c r="U38" s="130"/>
      <c r="V38" s="130"/>
      <c r="W38" s="130"/>
      <c r="X38" s="130"/>
      <c r="Y38" s="131"/>
      <c r="Z38" s="58">
        <f>IFERROR(AVERAGEIFS(AC39,AC39,"&lt;&gt;ND"),"ND")</f>
        <v>100</v>
      </c>
      <c r="AB38" s="52"/>
      <c r="AC38" s="52"/>
      <c r="AD38" s="53"/>
      <c r="AE38" s="53"/>
      <c r="AF38" s="52"/>
      <c r="AG38" s="52"/>
      <c r="AH38" s="52"/>
    </row>
    <row r="39" spans="2:34" s="51" customFormat="1" ht="78.75" x14ac:dyDescent="0.25">
      <c r="B39" s="62" t="s">
        <v>52</v>
      </c>
      <c r="C39" s="66" t="s">
        <v>82</v>
      </c>
      <c r="D39" s="66" t="s">
        <v>114</v>
      </c>
      <c r="E39" s="66" t="s">
        <v>115</v>
      </c>
      <c r="F39" s="64" t="s">
        <v>8</v>
      </c>
      <c r="G39" s="122" t="s">
        <v>35</v>
      </c>
      <c r="H39" s="122" t="s">
        <v>38</v>
      </c>
      <c r="I39" s="123">
        <v>2015</v>
      </c>
      <c r="J39" s="124">
        <v>12.3</v>
      </c>
      <c r="K39" s="123">
        <v>14.4</v>
      </c>
      <c r="L39" s="123">
        <v>15.5</v>
      </c>
      <c r="M39" s="123">
        <v>16.8</v>
      </c>
      <c r="N39" s="123">
        <v>46.6</v>
      </c>
      <c r="O39" s="123">
        <v>12.7</v>
      </c>
      <c r="P39" s="123">
        <v>12.8</v>
      </c>
      <c r="Q39" s="123">
        <v>12.9</v>
      </c>
      <c r="R39" s="123">
        <v>12.9</v>
      </c>
      <c r="S39" s="123">
        <v>13.2</v>
      </c>
      <c r="T39" s="123">
        <v>12.9</v>
      </c>
      <c r="U39" s="123">
        <v>12.4</v>
      </c>
      <c r="V39" s="123">
        <v>11.1</v>
      </c>
      <c r="W39" s="123">
        <v>16.100000000000001</v>
      </c>
      <c r="X39" s="123">
        <v>12.7</v>
      </c>
      <c r="Y39" s="123">
        <v>12.8</v>
      </c>
      <c r="Z39" s="65">
        <f>IF(OR(P39="",Y39=""),"Llenar",IF(OR(Y39="ND",P39="ND"),"ND",IF(G39="Ascendente",Y39/P39*100,IF(AND(G39="Descendente",P39=0,Y39=0),100,IF(AND(G39="Descendente",P39=0,Y39&lt;&gt;0),0,IF(G39="Descendente",P39/Y39*100,IF(AND(G39="No_definido",H39="Máximo permisible"),IF(Y39&lt;=P39,100,0),IF(AND(G39="No_definido",H39="Mínimo permisible"),IF(Y39&gt;=P39,100,0),"Llenar"))))))))</f>
        <v>100</v>
      </c>
      <c r="AB39" s="52"/>
      <c r="AC39" s="52">
        <f>IF(Z39="Llenar","",IF(OR(Z39="INDET",Z39="Llenar",Z39="ND"),"ND",IF(Z39&gt;=100,100,Z39)))</f>
        <v>100</v>
      </c>
      <c r="AD39" s="53"/>
      <c r="AE39" s="53"/>
      <c r="AF39" s="52"/>
      <c r="AG39" s="52"/>
      <c r="AH39" s="52"/>
    </row>
    <row r="40" spans="2:34" s="51" customFormat="1" ht="31.5" customHeight="1" x14ac:dyDescent="0.25">
      <c r="B40" s="61" t="s">
        <v>21</v>
      </c>
      <c r="C40" s="129" t="s">
        <v>88</v>
      </c>
      <c r="D40" s="130"/>
      <c r="E40" s="130"/>
      <c r="F40" s="130"/>
      <c r="G40" s="130"/>
      <c r="H40" s="130"/>
      <c r="I40" s="130"/>
      <c r="J40" s="130"/>
      <c r="K40" s="130"/>
      <c r="L40" s="130"/>
      <c r="M40" s="130"/>
      <c r="N40" s="130"/>
      <c r="O40" s="130"/>
      <c r="P40" s="130"/>
      <c r="Q40" s="130"/>
      <c r="R40" s="130"/>
      <c r="S40" s="130"/>
      <c r="T40" s="130"/>
      <c r="U40" s="130"/>
      <c r="V40" s="130"/>
      <c r="W40" s="130"/>
      <c r="X40" s="130"/>
      <c r="Y40" s="131"/>
      <c r="Z40" s="58">
        <f>IFERROR(AVERAGEIFS(AC41,AC41,"&lt;&gt;ND"),"ND")</f>
        <v>93.75</v>
      </c>
      <c r="AB40" s="52"/>
      <c r="AC40" s="52"/>
      <c r="AD40" s="53"/>
      <c r="AE40" s="53"/>
      <c r="AF40" s="52"/>
      <c r="AG40" s="52"/>
      <c r="AH40" s="52"/>
    </row>
    <row r="41" spans="2:34" s="51" customFormat="1" ht="47.25" x14ac:dyDescent="0.25">
      <c r="B41" s="62" t="s">
        <v>51</v>
      </c>
      <c r="C41" s="66" t="s">
        <v>81</v>
      </c>
      <c r="D41" s="66" t="s">
        <v>106</v>
      </c>
      <c r="E41" s="66" t="s">
        <v>107</v>
      </c>
      <c r="F41" s="64" t="s">
        <v>118</v>
      </c>
      <c r="G41" s="122" t="s">
        <v>35</v>
      </c>
      <c r="H41" s="122" t="s">
        <v>40</v>
      </c>
      <c r="I41" s="123">
        <v>2015</v>
      </c>
      <c r="J41" s="124">
        <v>152</v>
      </c>
      <c r="K41" s="123">
        <v>240</v>
      </c>
      <c r="L41" s="123">
        <v>302</v>
      </c>
      <c r="M41" s="123">
        <v>381</v>
      </c>
      <c r="N41" s="123">
        <v>479</v>
      </c>
      <c r="O41" s="123">
        <v>45</v>
      </c>
      <c r="P41" s="123">
        <v>48</v>
      </c>
      <c r="Q41" s="123">
        <v>50</v>
      </c>
      <c r="R41" s="123">
        <v>54</v>
      </c>
      <c r="S41" s="123">
        <v>56</v>
      </c>
      <c r="T41" s="123">
        <v>190</v>
      </c>
      <c r="U41" s="123">
        <v>200</v>
      </c>
      <c r="V41" s="123">
        <v>210</v>
      </c>
      <c r="W41" s="123">
        <v>40</v>
      </c>
      <c r="X41" s="123">
        <v>45</v>
      </c>
      <c r="Y41" s="123">
        <v>45</v>
      </c>
      <c r="Z41" s="65">
        <f>IF(OR(P41="",Y41=""),"Llenar",IF(OR(Y41="ND",P41="ND"),"ND",IF(G41="Ascendente",Y41/P41*100,IF(AND(G41="Descendente",P41=0,Y41=0),100,IF(AND(G41="Descendente",P41=0,Y41&lt;&gt;0),0,IF(G41="Descendente",P41/Y41*100,IF(AND(G41="No_definido",H41="Máximo permisible"),IF(Y41&lt;=P41,100,0),IF(AND(G41="No_definido",H41="Mínimo permisible"),IF(Y41&gt;=P41,100,0),"Llenar"))))))))</f>
        <v>93.75</v>
      </c>
      <c r="AB41" s="52"/>
      <c r="AC41" s="52">
        <f>IF(Z41="Llenar","",IF(OR(Z41="INDET",Z41="Llenar",Z41="ND"),"ND",IF(Z41&gt;=100,100,Z41)))</f>
        <v>93.75</v>
      </c>
      <c r="AD41" s="53"/>
      <c r="AE41" s="53"/>
      <c r="AF41" s="52"/>
      <c r="AG41" s="52"/>
      <c r="AH41" s="52"/>
    </row>
    <row r="42" spans="2:34" s="51" customFormat="1" ht="31.5" customHeight="1" x14ac:dyDescent="0.25">
      <c r="B42" s="61" t="s">
        <v>67</v>
      </c>
      <c r="C42" s="129" t="s">
        <v>80</v>
      </c>
      <c r="D42" s="130"/>
      <c r="E42" s="130"/>
      <c r="F42" s="130"/>
      <c r="G42" s="130"/>
      <c r="H42" s="130"/>
      <c r="I42" s="130"/>
      <c r="J42" s="130"/>
      <c r="K42" s="130"/>
      <c r="L42" s="130"/>
      <c r="M42" s="130"/>
      <c r="N42" s="130"/>
      <c r="O42" s="130"/>
      <c r="P42" s="130"/>
      <c r="Q42" s="130"/>
      <c r="R42" s="130"/>
      <c r="S42" s="130"/>
      <c r="T42" s="130"/>
      <c r="U42" s="130"/>
      <c r="V42" s="130"/>
      <c r="W42" s="130"/>
      <c r="X42" s="130"/>
      <c r="Y42" s="131"/>
      <c r="Z42" s="58">
        <f>IFERROR(AVERAGEIFS(AC43,AC43,"&lt;&gt;ND"),"ND")</f>
        <v>100</v>
      </c>
      <c r="AB42" s="52"/>
      <c r="AC42" s="52"/>
      <c r="AD42" s="53"/>
      <c r="AE42" s="53"/>
      <c r="AF42" s="52"/>
      <c r="AG42" s="52"/>
      <c r="AH42" s="52"/>
    </row>
    <row r="43" spans="2:34" s="51" customFormat="1" ht="81" customHeight="1" x14ac:dyDescent="0.25">
      <c r="B43" s="62" t="s">
        <v>68</v>
      </c>
      <c r="C43" s="66" t="s">
        <v>77</v>
      </c>
      <c r="D43" s="66" t="s">
        <v>106</v>
      </c>
      <c r="E43" s="66" t="s">
        <v>107</v>
      </c>
      <c r="F43" s="64" t="s">
        <v>18</v>
      </c>
      <c r="G43" s="122" t="s">
        <v>35</v>
      </c>
      <c r="H43" s="122" t="s">
        <v>40</v>
      </c>
      <c r="I43" s="123">
        <v>2015</v>
      </c>
      <c r="J43" s="124">
        <v>16.2</v>
      </c>
      <c r="K43" s="123">
        <v>17.8</v>
      </c>
      <c r="L43" s="123">
        <v>18.3</v>
      </c>
      <c r="M43" s="123">
        <v>19</v>
      </c>
      <c r="N43" s="123">
        <v>15.6</v>
      </c>
      <c r="O43" s="123">
        <v>17.100000000000001</v>
      </c>
      <c r="P43" s="123">
        <v>17.399999999999999</v>
      </c>
      <c r="Q43" s="123">
        <v>17.600000000000001</v>
      </c>
      <c r="R43" s="123">
        <v>17.8</v>
      </c>
      <c r="S43" s="123">
        <v>18</v>
      </c>
      <c r="T43" s="123">
        <v>16.22</v>
      </c>
      <c r="U43" s="123">
        <v>16.3</v>
      </c>
      <c r="V43" s="123">
        <v>17.41</v>
      </c>
      <c r="W43" s="123">
        <v>16.399999999999999</v>
      </c>
      <c r="X43" s="123">
        <v>17.100000000000001</v>
      </c>
      <c r="Y43" s="123">
        <v>17.5</v>
      </c>
      <c r="Z43" s="65">
        <f>IF(OR(P43="",Y43=""),"Llenar",IF(OR(Y43="ND",P43="ND"),"ND",IF(G43="Ascendente",Y43/P43*100,IF(AND(G43="Descendente",P43=0,Y43=0),100,IF(AND(G43="Descendente",P43=0,Y43&lt;&gt;0),0,IF(G43="Descendente",P43/Y43*100,IF(AND(G43="No_definido",H43="Máximo permisible"),IF(Y43&lt;=P43,100,0),IF(AND(G43="No_definido",H43="Mínimo permisible"),IF(Y43&gt;=P43,100,0),"Llenar"))))))))</f>
        <v>100.57471264367817</v>
      </c>
      <c r="AB43" s="52"/>
      <c r="AC43" s="52">
        <f>IF(Z43="Llenar","",IF(OR(Z43="INDET",Z43="Llenar",Z43="ND"),"ND",IF(Z43&gt;=100,100,Z43)))</f>
        <v>100</v>
      </c>
      <c r="AD43" s="53"/>
      <c r="AE43" s="53"/>
      <c r="AF43" s="52"/>
      <c r="AG43" s="52"/>
      <c r="AH43" s="52"/>
    </row>
    <row r="44" spans="2:34" s="51" customFormat="1" ht="30.75" customHeight="1" x14ac:dyDescent="0.25">
      <c r="B44" s="61" t="s">
        <v>69</v>
      </c>
      <c r="C44" s="129" t="s">
        <v>79</v>
      </c>
      <c r="D44" s="130"/>
      <c r="E44" s="130"/>
      <c r="F44" s="130"/>
      <c r="G44" s="130"/>
      <c r="H44" s="130"/>
      <c r="I44" s="130"/>
      <c r="J44" s="130"/>
      <c r="K44" s="130"/>
      <c r="L44" s="130"/>
      <c r="M44" s="130"/>
      <c r="N44" s="130"/>
      <c r="O44" s="130"/>
      <c r="P44" s="130"/>
      <c r="Q44" s="130"/>
      <c r="R44" s="130"/>
      <c r="S44" s="130"/>
      <c r="T44" s="130"/>
      <c r="U44" s="130"/>
      <c r="V44" s="130"/>
      <c r="W44" s="130"/>
      <c r="X44" s="130"/>
      <c r="Y44" s="131"/>
      <c r="Z44" s="58">
        <f>IFERROR(AVERAGEIFS(AC45:AC46,AC45:AC46,"&lt;&gt;ND"),"ND")</f>
        <v>98.597435310281654</v>
      </c>
      <c r="AB44" s="52"/>
      <c r="AC44" s="52"/>
      <c r="AD44" s="53"/>
      <c r="AE44" s="53"/>
      <c r="AF44" s="52"/>
      <c r="AG44" s="52"/>
      <c r="AH44" s="52"/>
    </row>
    <row r="45" spans="2:34" s="51" customFormat="1" ht="63" x14ac:dyDescent="0.25">
      <c r="B45" s="62" t="s">
        <v>70</v>
      </c>
      <c r="C45" s="66" t="s">
        <v>75</v>
      </c>
      <c r="D45" s="66" t="s">
        <v>106</v>
      </c>
      <c r="E45" s="66" t="s">
        <v>116</v>
      </c>
      <c r="F45" s="64" t="s">
        <v>18</v>
      </c>
      <c r="G45" s="122" t="s">
        <v>42</v>
      </c>
      <c r="H45" s="122" t="s">
        <v>41</v>
      </c>
      <c r="I45" s="123">
        <v>2016</v>
      </c>
      <c r="J45" s="124">
        <v>114</v>
      </c>
      <c r="K45" s="123">
        <v>65</v>
      </c>
      <c r="L45" s="123">
        <v>65</v>
      </c>
      <c r="M45" s="123">
        <v>65</v>
      </c>
      <c r="N45" s="123">
        <v>65</v>
      </c>
      <c r="O45" s="123">
        <v>65</v>
      </c>
      <c r="P45" s="123">
        <v>65</v>
      </c>
      <c r="Q45" s="123">
        <v>65</v>
      </c>
      <c r="R45" s="123">
        <v>65</v>
      </c>
      <c r="S45" s="123">
        <v>65</v>
      </c>
      <c r="T45" s="123">
        <v>103</v>
      </c>
      <c r="U45" s="123">
        <v>65</v>
      </c>
      <c r="V45" s="123">
        <v>85</v>
      </c>
      <c r="W45" s="123">
        <v>70</v>
      </c>
      <c r="X45" s="123">
        <v>65</v>
      </c>
      <c r="Y45" s="123">
        <v>69</v>
      </c>
      <c r="Z45" s="65">
        <f>IF(OR(P45="",Y45=""),"Llenar",IF(OR(Y45="ND",P45="ND"),"ND",IF(G45="Ascendente",Y45/P45*100,IF(AND(G45="Descendente",P45=0,Y45=0),100,IF(AND(G45="Descendente",P45=0,Y45&lt;&gt;0),0,IF(G45="Descendente",P45/Y45*100,IF(AND(G45="No_definido",H45="Máximo permisible"),IF(Y45&lt;=P45,100,0),IF(AND(G45="No_definido",H45="Mínimo permisible"),IF(Y45&gt;=P45,100,0),"Llenar"))))))))</f>
        <v>100</v>
      </c>
      <c r="AB45" s="52"/>
      <c r="AC45" s="52">
        <f>IF(Z45="Llenar","",IF(OR(Z45="INDET",Z45="Llenar",Z45="ND"),"ND",IF(Z45&gt;=100,100,Z45)))</f>
        <v>100</v>
      </c>
      <c r="AD45" s="53"/>
      <c r="AE45" s="53"/>
      <c r="AF45" s="52"/>
      <c r="AG45" s="52"/>
      <c r="AH45" s="52"/>
    </row>
    <row r="46" spans="2:34" s="51" customFormat="1" ht="47.25" x14ac:dyDescent="0.25">
      <c r="B46" s="62" t="s">
        <v>71</v>
      </c>
      <c r="C46" s="66" t="s">
        <v>76</v>
      </c>
      <c r="D46" s="66" t="s">
        <v>106</v>
      </c>
      <c r="E46" s="66" t="s">
        <v>117</v>
      </c>
      <c r="F46" s="64" t="s">
        <v>8</v>
      </c>
      <c r="G46" s="122" t="s">
        <v>35</v>
      </c>
      <c r="H46" s="122" t="s">
        <v>38</v>
      </c>
      <c r="I46" s="123">
        <v>2016</v>
      </c>
      <c r="J46" s="124">
        <v>68.27</v>
      </c>
      <c r="K46" s="123">
        <v>78.819999999999993</v>
      </c>
      <c r="L46" s="123">
        <v>85.65</v>
      </c>
      <c r="M46" s="123">
        <v>90.16</v>
      </c>
      <c r="N46" s="123">
        <v>88.3</v>
      </c>
      <c r="O46" s="123">
        <v>83.22</v>
      </c>
      <c r="P46" s="123">
        <v>87.34</v>
      </c>
      <c r="Q46" s="123">
        <v>88.37</v>
      </c>
      <c r="R46" s="123">
        <v>91.44</v>
      </c>
      <c r="S46" s="123">
        <v>91.83</v>
      </c>
      <c r="T46" s="123">
        <v>82.5</v>
      </c>
      <c r="U46" s="123">
        <v>85.4</v>
      </c>
      <c r="V46" s="123">
        <v>90.1</v>
      </c>
      <c r="W46" s="123">
        <v>80.97</v>
      </c>
      <c r="X46" s="123">
        <v>83.22</v>
      </c>
      <c r="Y46" s="123">
        <v>84.89</v>
      </c>
      <c r="Z46" s="65">
        <f>IF(OR(P46="",Y46=""),"Llenar",IF(OR(Y46="ND",P46="ND"),"ND",IF(G46="Ascendente",Y46/P46*100,IF(AND(G46="Descendente",P46=0,Y46=0),100,IF(AND(G46="Descendente",P46=0,Y46&lt;&gt;0),0,IF(G46="Descendente",P46/Y46*100,IF(AND(G46="No_definido",H46="Máximo permisible"),IF(Y46&lt;=P46,100,0),IF(AND(G46="No_definido",H46="Mínimo permisible"),IF(Y46&gt;=P46,100,0),"Llenar"))))))))</f>
        <v>97.194870620563307</v>
      </c>
      <c r="AB46" s="52"/>
      <c r="AC46" s="52">
        <f>IF(Z46="Llenar","",IF(OR(Z46="INDET",Z46="Llenar",Z46="ND"),"ND",IF(Z46&gt;=100,100,Z46)))</f>
        <v>97.194870620563307</v>
      </c>
      <c r="AD46" s="53"/>
      <c r="AE46" s="53"/>
      <c r="AF46" s="52"/>
      <c r="AG46" s="52"/>
      <c r="AH46" s="52"/>
    </row>
    <row r="47" spans="2:34" s="51" customFormat="1" ht="29.25" customHeight="1" x14ac:dyDescent="0.25">
      <c r="B47" s="61" t="s">
        <v>72</v>
      </c>
      <c r="C47" s="129" t="s">
        <v>78</v>
      </c>
      <c r="D47" s="130"/>
      <c r="E47" s="130"/>
      <c r="F47" s="130"/>
      <c r="G47" s="130"/>
      <c r="H47" s="130"/>
      <c r="I47" s="130"/>
      <c r="J47" s="130"/>
      <c r="K47" s="130"/>
      <c r="L47" s="130"/>
      <c r="M47" s="130"/>
      <c r="N47" s="130"/>
      <c r="O47" s="130"/>
      <c r="P47" s="130"/>
      <c r="Q47" s="130"/>
      <c r="R47" s="130"/>
      <c r="S47" s="130"/>
      <c r="T47" s="130"/>
      <c r="U47" s="130"/>
      <c r="V47" s="130"/>
      <c r="W47" s="130"/>
      <c r="X47" s="130"/>
      <c r="Y47" s="131"/>
      <c r="Z47" s="58">
        <f>IFERROR(AVERAGEIFS(AC48,AC48,"&lt;&gt;ND"),"ND")</f>
        <v>95.936691626957113</v>
      </c>
      <c r="AB47" s="52"/>
      <c r="AC47" s="52"/>
      <c r="AD47" s="53"/>
      <c r="AE47" s="53"/>
      <c r="AF47" s="52"/>
      <c r="AG47" s="52"/>
      <c r="AH47" s="52"/>
    </row>
    <row r="48" spans="2:34" s="51" customFormat="1" ht="47.25" x14ac:dyDescent="0.25">
      <c r="B48" s="62" t="s">
        <v>73</v>
      </c>
      <c r="C48" s="63" t="s">
        <v>74</v>
      </c>
      <c r="D48" s="66" t="s">
        <v>106</v>
      </c>
      <c r="E48" s="66" t="s">
        <v>107</v>
      </c>
      <c r="F48" s="64" t="s">
        <v>118</v>
      </c>
      <c r="G48" s="122" t="s">
        <v>35</v>
      </c>
      <c r="H48" s="122" t="s">
        <v>40</v>
      </c>
      <c r="I48" s="123">
        <v>2016</v>
      </c>
      <c r="J48" s="124">
        <v>98.7</v>
      </c>
      <c r="K48" s="123">
        <v>108.7</v>
      </c>
      <c r="L48" s="123">
        <v>120.1</v>
      </c>
      <c r="M48" s="123">
        <v>132.1</v>
      </c>
      <c r="N48" s="123">
        <v>122.4</v>
      </c>
      <c r="O48" s="123">
        <v>141.5</v>
      </c>
      <c r="P48" s="123">
        <v>146.9</v>
      </c>
      <c r="Q48" s="123">
        <v>152.19999999999999</v>
      </c>
      <c r="R48" s="123">
        <v>157.5</v>
      </c>
      <c r="S48" s="123">
        <v>162.6</v>
      </c>
      <c r="T48" s="123">
        <v>100.22</v>
      </c>
      <c r="U48" s="123">
        <v>103.01</v>
      </c>
      <c r="V48" s="123">
        <v>161.28</v>
      </c>
      <c r="W48" s="123">
        <v>143.83000000000001</v>
      </c>
      <c r="X48" s="123">
        <v>144.21</v>
      </c>
      <c r="Y48" s="123">
        <v>140.93100000000001</v>
      </c>
      <c r="Z48" s="65">
        <f>IF(OR(P48="",Y48=""),"Llenar",IF(OR(Y48="ND",P48="ND"),"ND",IF(G48="Ascendente",Y48/P48*100,IF(AND(G48="Descendente",P48=0,Y48=0),100,IF(AND(G48="Descendente",P48=0,Y48&lt;&gt;0),0,IF(G48="Descendente",P48/Y48*100,IF(AND(G48="No_definido",H48="Máximo permisible"),IF(Y48&lt;=P48,100,0),IF(AND(G48="No_definido",H48="Mínimo permisible"),IF(Y48&gt;=P48,100,0),"Llenar"))))))))</f>
        <v>95.936691626957113</v>
      </c>
      <c r="AB48" s="52"/>
      <c r="AC48" s="52">
        <f>IF(Z48="Llenar","",IF(OR(Z48="INDET",Z48="Llenar",Z48="ND"),"ND",IF(Z48&gt;=100,100,Z48)))</f>
        <v>95.936691626957113</v>
      </c>
      <c r="AD48" s="53"/>
      <c r="AE48" s="53"/>
      <c r="AF48" s="52"/>
      <c r="AG48" s="52"/>
      <c r="AH48" s="52"/>
    </row>
    <row r="49" spans="1:102" ht="19.5" customHeight="1" thickBot="1" x14ac:dyDescent="0.3"/>
    <row r="50" spans="1:102" s="30" customFormat="1" ht="20.25" x14ac:dyDescent="0.3">
      <c r="A50" s="24"/>
      <c r="B50" s="25"/>
      <c r="C50" s="24"/>
      <c r="D50" s="24"/>
      <c r="E50" s="24"/>
      <c r="F50" s="24"/>
      <c r="G50" s="24"/>
      <c r="H50" s="24"/>
      <c r="I50" s="69"/>
      <c r="J50" s="24"/>
      <c r="K50" s="26" t="s">
        <v>122</v>
      </c>
      <c r="L50" s="27"/>
      <c r="M50" s="27"/>
      <c r="N50" s="27"/>
      <c r="O50" s="27"/>
      <c r="P50" s="27"/>
      <c r="Q50" s="27"/>
      <c r="R50" s="27"/>
      <c r="S50" s="27"/>
      <c r="T50" s="27"/>
      <c r="U50" s="27"/>
      <c r="V50" s="27"/>
      <c r="W50" s="27"/>
      <c r="X50" s="27"/>
      <c r="Y50" s="27"/>
      <c r="Z50" s="27"/>
      <c r="AA50" s="27"/>
      <c r="AB50" s="28"/>
      <c r="AC50" s="29"/>
      <c r="AD50" s="29"/>
      <c r="AE50" s="29"/>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row>
    <row r="51" spans="1:102" s="30" customFormat="1" ht="20.25" x14ac:dyDescent="0.3">
      <c r="A51" s="24"/>
      <c r="B51" s="25"/>
      <c r="C51" s="31" t="s">
        <v>123</v>
      </c>
      <c r="D51" s="32"/>
      <c r="E51" s="32"/>
      <c r="F51" s="32"/>
      <c r="G51" s="32"/>
      <c r="H51" s="32"/>
      <c r="I51" s="70"/>
      <c r="J51" s="32"/>
      <c r="K51" s="33"/>
      <c r="L51" s="24"/>
      <c r="M51" s="24"/>
      <c r="N51" s="24"/>
      <c r="O51" s="24"/>
      <c r="P51" s="24"/>
      <c r="Q51" s="24"/>
      <c r="R51" s="24"/>
      <c r="S51" s="24"/>
      <c r="T51" s="24"/>
      <c r="U51" s="24"/>
      <c r="V51" s="24"/>
      <c r="W51" s="24"/>
      <c r="X51" s="24"/>
      <c r="Y51" s="24"/>
      <c r="Z51" s="24"/>
      <c r="AA51" s="24"/>
      <c r="AB51" s="34"/>
      <c r="AC51" s="29"/>
      <c r="AD51" s="29"/>
      <c r="AE51" s="29"/>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row>
    <row r="52" spans="1:102" s="30" customFormat="1" ht="52.5" customHeight="1" thickBot="1" x14ac:dyDescent="0.35">
      <c r="A52" s="24"/>
      <c r="B52" s="25"/>
      <c r="C52" s="32"/>
      <c r="D52" s="32"/>
      <c r="E52" s="32"/>
      <c r="F52" s="32"/>
      <c r="G52" s="32"/>
      <c r="H52" s="32"/>
      <c r="I52" s="70"/>
      <c r="J52" s="32"/>
      <c r="K52" s="144" t="s">
        <v>139</v>
      </c>
      <c r="L52" s="145"/>
      <c r="M52" s="145"/>
      <c r="N52" s="145"/>
      <c r="O52" s="145"/>
      <c r="P52" s="145"/>
      <c r="Q52" s="145"/>
      <c r="R52" s="145"/>
      <c r="S52" s="145"/>
      <c r="T52" s="145"/>
      <c r="U52" s="145"/>
      <c r="V52" s="145"/>
      <c r="W52" s="145"/>
      <c r="X52" s="145"/>
      <c r="Y52" s="145"/>
      <c r="Z52" s="145"/>
      <c r="AA52" s="145"/>
      <c r="AB52" s="146"/>
      <c r="AC52" s="29"/>
      <c r="AD52" s="29"/>
      <c r="AE52" s="29"/>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row>
    <row r="53" spans="1:102" s="30" customFormat="1" ht="21" thickBot="1" x14ac:dyDescent="0.35">
      <c r="A53" s="24"/>
      <c r="B53" s="25"/>
      <c r="C53" s="76" t="s">
        <v>124</v>
      </c>
      <c r="D53" s="77" t="s">
        <v>125</v>
      </c>
      <c r="E53" s="78" t="s">
        <v>126</v>
      </c>
      <c r="F53" s="79" t="s">
        <v>127</v>
      </c>
      <c r="G53" s="80" t="s">
        <v>5</v>
      </c>
      <c r="H53" s="81" t="s">
        <v>22</v>
      </c>
      <c r="I53" s="82" t="s">
        <v>23</v>
      </c>
      <c r="J53" s="24"/>
      <c r="K53" s="35"/>
      <c r="L53" s="36"/>
      <c r="M53" s="36"/>
      <c r="N53" s="36"/>
      <c r="O53" s="36"/>
      <c r="P53" s="36"/>
      <c r="Q53" s="36"/>
      <c r="R53" s="36"/>
      <c r="S53" s="36"/>
      <c r="T53" s="36"/>
      <c r="U53" s="36"/>
      <c r="V53" s="36"/>
      <c r="W53" s="36"/>
      <c r="X53" s="36"/>
      <c r="Y53" s="36"/>
      <c r="Z53" s="36"/>
      <c r="AA53" s="36"/>
      <c r="AB53" s="37"/>
      <c r="AC53" s="29"/>
      <c r="AD53" s="29"/>
      <c r="AE53" s="29"/>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row>
    <row r="54" spans="1:102" s="30" customFormat="1" ht="80.25" customHeight="1" thickBot="1" x14ac:dyDescent="0.35">
      <c r="A54" s="24"/>
      <c r="B54" s="25"/>
      <c r="C54" s="71" t="s">
        <v>128</v>
      </c>
      <c r="D54" s="75">
        <f>COUNTIFS(B11:B48,"=OES*",Z11:Z48,"&lt;75",Z11:Z48,"&lt;&gt;ND")</f>
        <v>0</v>
      </c>
      <c r="E54" s="75">
        <f>COUNTIFS(B11:B48,"=OES*",Z11:Z48,"&gt;=75",Z11:Z48,"&lt;95",Z11:Z48,"&lt;&gt;ND")</f>
        <v>1</v>
      </c>
      <c r="F54" s="75">
        <f>COUNTIFS(B11:B48,"=OES*",Z11:Z48,"&gt;=95",Z11:Z48,"&lt;&gt;ND")</f>
        <v>2</v>
      </c>
      <c r="G54" s="75">
        <f>COUNTIFS(B11:B48,"=OES*",Z11:Z48,"=ND")</f>
        <v>0</v>
      </c>
      <c r="H54" s="75">
        <f>COUNTIFS(B11:B48,"=OES*",Z11:Z48,"=Llenar")</f>
        <v>0</v>
      </c>
      <c r="I54" s="112">
        <f>COUNTIFS(B11:B48,"=OES*")</f>
        <v>3</v>
      </c>
      <c r="J54" s="24"/>
      <c r="K54" s="147" t="s">
        <v>140</v>
      </c>
      <c r="L54" s="148"/>
      <c r="M54" s="148"/>
      <c r="N54" s="148"/>
      <c r="O54" s="148"/>
      <c r="P54" s="148"/>
      <c r="Q54" s="148"/>
      <c r="R54" s="148"/>
      <c r="S54" s="148"/>
      <c r="T54" s="148"/>
      <c r="U54" s="148"/>
      <c r="V54" s="148"/>
      <c r="W54" s="148"/>
      <c r="X54" s="148"/>
      <c r="Y54" s="148"/>
      <c r="Z54" s="148"/>
      <c r="AA54" s="148"/>
      <c r="AB54" s="149"/>
      <c r="AC54" s="29"/>
      <c r="AD54" s="29"/>
      <c r="AE54" s="29"/>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row>
    <row r="55" spans="1:102" s="30" customFormat="1" ht="20.25" customHeight="1" thickBot="1" x14ac:dyDescent="0.35">
      <c r="A55" s="24"/>
      <c r="B55" s="25"/>
      <c r="C55" s="38" t="s">
        <v>129</v>
      </c>
      <c r="D55" s="72">
        <f>COUNTIFS(B11:B48,"=IND*",Z11:Z48,"&lt;75",Z11:Z48,"&lt;&gt;ND")</f>
        <v>0</v>
      </c>
      <c r="E55" s="72">
        <f>COUNTIFS(B11:B48,"=IND*",Z11:Z48,"&gt;=75",Z11:Z48,"&lt;95",Z11:Z48,"&lt;&gt;ND")</f>
        <v>4</v>
      </c>
      <c r="F55" s="72">
        <f>COUNTIFS(B11:B48,"=IND*",Z11:Z48,"&gt;=95",Z11:Z48,"&lt;&gt;ND")</f>
        <v>18</v>
      </c>
      <c r="G55" s="72">
        <f>COUNTIFS(B11:B48,"=IND*",Z11:Z48,"=ND")</f>
        <v>0</v>
      </c>
      <c r="H55" s="73">
        <f>COUNTIFS(B11:B48,"=IND*",Z11:Z48,"=Llenar")</f>
        <v>0</v>
      </c>
      <c r="I55" s="74">
        <f>COUNTIFS(B11:B48,"=IND*")</f>
        <v>22</v>
      </c>
      <c r="J55" s="24"/>
      <c r="K55" s="35"/>
      <c r="L55" s="36"/>
      <c r="M55" s="36"/>
      <c r="N55" s="36"/>
      <c r="O55" s="36"/>
      <c r="P55" s="36"/>
      <c r="Q55" s="36"/>
      <c r="R55" s="36"/>
      <c r="S55" s="36"/>
      <c r="T55" s="36"/>
      <c r="U55" s="36"/>
      <c r="V55" s="36"/>
      <c r="W55" s="36"/>
      <c r="X55" s="36"/>
      <c r="Y55" s="36"/>
      <c r="Z55" s="36"/>
      <c r="AA55" s="36"/>
      <c r="AB55" s="37"/>
      <c r="AC55" s="29"/>
      <c r="AD55" s="29"/>
      <c r="AE55" s="29"/>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row>
    <row r="56" spans="1:102" s="30" customFormat="1" ht="68.25" customHeight="1" thickBot="1" x14ac:dyDescent="0.35">
      <c r="A56" s="24"/>
      <c r="B56" s="25"/>
      <c r="C56" s="39" t="s">
        <v>130</v>
      </c>
      <c r="D56" s="40">
        <f>COUNTIFS(B11:B48,"=AES*",Z11:Z48,"&lt;75",Z11:Z48,"&lt;&gt;ND")</f>
        <v>0</v>
      </c>
      <c r="E56" s="40">
        <f>COUNTIFS(B11:B48,"=AES*",Z11:Z48,"&gt;=75",Z11:Z48,"&lt;95",Z11:Z48,"&lt;&gt;ND")</f>
        <v>2</v>
      </c>
      <c r="F56" s="40">
        <f>COUNTIFS(B11:B48,"=AES*",Z11:Z48,"&gt;=95",Z11:Z48,"&lt;&gt;ND")</f>
        <v>11</v>
      </c>
      <c r="G56" s="40">
        <f>COUNTIFS(B11:B48,"=AES*",Z11:Z48,"=ND")</f>
        <v>0</v>
      </c>
      <c r="H56" s="41">
        <f>COUNTIFS(B11:B48,"=AES*",Z11:Z48,"=Llenar")</f>
        <v>0</v>
      </c>
      <c r="I56" s="42">
        <f>COUNTIFS(B11:B48,"=AES*")</f>
        <v>13</v>
      </c>
      <c r="J56" s="24"/>
      <c r="K56" s="147" t="s">
        <v>137</v>
      </c>
      <c r="L56" s="148"/>
      <c r="M56" s="148"/>
      <c r="N56" s="148"/>
      <c r="O56" s="148"/>
      <c r="P56" s="148"/>
      <c r="Q56" s="148"/>
      <c r="R56" s="148"/>
      <c r="S56" s="148"/>
      <c r="T56" s="148"/>
      <c r="U56" s="148"/>
      <c r="V56" s="148"/>
      <c r="W56" s="148"/>
      <c r="X56" s="148"/>
      <c r="Y56" s="148"/>
      <c r="Z56" s="148"/>
      <c r="AA56" s="148"/>
      <c r="AB56" s="149"/>
      <c r="AC56" s="29"/>
      <c r="AD56" s="29"/>
      <c r="AE56" s="29"/>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row>
    <row r="57" spans="1:102" s="30" customFormat="1" ht="21" thickBot="1" x14ac:dyDescent="0.35">
      <c r="A57" s="24"/>
      <c r="B57" s="25"/>
      <c r="C57" s="43" t="s">
        <v>131</v>
      </c>
      <c r="D57" s="44">
        <f>COUNTIFS(B11:B48,"=INDA*",Z11:Z48,"&lt;75",Z11:Z48,"&lt;&gt;ND")</f>
        <v>0</v>
      </c>
      <c r="E57" s="44">
        <f>COUNTIFS(B11:B48,"=INDA*",Z11:Z48,"&gt;=75",Z11:Z48,"&lt;95",Z11:Z48,"&lt;&gt;ND")</f>
        <v>3</v>
      </c>
      <c r="F57" s="44">
        <f>COUNTIFS(B11:B48,"=INDA*",Z11:Z48,"&gt;=95",Z11:Z48,"&lt;&gt;ND")</f>
        <v>16</v>
      </c>
      <c r="G57" s="44">
        <f>COUNTIFS(B11:B48,"=INDA*",Z11:Z48,"=ND")</f>
        <v>0</v>
      </c>
      <c r="H57" s="45">
        <f>COUNTIFS(B11:B48,"=INDA*",Z11:Z48,"=Llenar")</f>
        <v>0</v>
      </c>
      <c r="I57" s="46">
        <f>COUNTIFS(B11:B48,"=INDA*")</f>
        <v>19</v>
      </c>
      <c r="J57" s="24"/>
      <c r="K57" s="35"/>
      <c r="L57" s="36"/>
      <c r="M57" s="36"/>
      <c r="N57" s="36"/>
      <c r="O57" s="36"/>
      <c r="P57" s="36"/>
      <c r="Q57" s="36"/>
      <c r="R57" s="36"/>
      <c r="S57" s="36"/>
      <c r="T57" s="36"/>
      <c r="U57" s="36"/>
      <c r="V57" s="36"/>
      <c r="W57" s="36"/>
      <c r="X57" s="36"/>
      <c r="Y57" s="36"/>
      <c r="Z57" s="36"/>
      <c r="AA57" s="36"/>
      <c r="AB57" s="37"/>
      <c r="AC57" s="29"/>
      <c r="AD57" s="29"/>
      <c r="AE57" s="29"/>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row>
    <row r="58" spans="1:102" s="30" customFormat="1" ht="69.75" customHeight="1" x14ac:dyDescent="0.3">
      <c r="A58" s="24"/>
      <c r="B58" s="25"/>
      <c r="C58" s="24"/>
      <c r="D58" s="24"/>
      <c r="E58" s="24"/>
      <c r="F58" s="24"/>
      <c r="G58" s="24"/>
      <c r="H58" s="24"/>
      <c r="I58" s="69"/>
      <c r="J58" s="24"/>
      <c r="K58" s="147" t="s">
        <v>138</v>
      </c>
      <c r="L58" s="148"/>
      <c r="M58" s="148"/>
      <c r="N58" s="148"/>
      <c r="O58" s="148"/>
      <c r="P58" s="148"/>
      <c r="Q58" s="148"/>
      <c r="R58" s="148"/>
      <c r="S58" s="148"/>
      <c r="T58" s="148"/>
      <c r="U58" s="148"/>
      <c r="V58" s="148"/>
      <c r="W58" s="148"/>
      <c r="X58" s="148"/>
      <c r="Y58" s="148"/>
      <c r="Z58" s="148"/>
      <c r="AA58" s="148"/>
      <c r="AB58" s="149"/>
      <c r="AC58" s="29"/>
      <c r="AD58" s="29"/>
      <c r="AE58" s="29"/>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row>
    <row r="59" spans="1:102" s="30" customFormat="1" ht="16.5" x14ac:dyDescent="0.3">
      <c r="A59" s="24"/>
      <c r="B59" s="25"/>
      <c r="C59" s="24"/>
      <c r="D59" s="24"/>
      <c r="E59" s="24"/>
      <c r="F59" s="24"/>
      <c r="G59" s="24"/>
      <c r="H59" s="24"/>
      <c r="I59" s="69"/>
      <c r="J59" s="24"/>
      <c r="K59" s="35"/>
      <c r="L59" s="36"/>
      <c r="M59" s="36"/>
      <c r="N59" s="36"/>
      <c r="O59" s="36"/>
      <c r="P59" s="36"/>
      <c r="Q59" s="36"/>
      <c r="R59" s="36"/>
      <c r="S59" s="36"/>
      <c r="T59" s="36"/>
      <c r="U59" s="36"/>
      <c r="V59" s="36"/>
      <c r="W59" s="36"/>
      <c r="X59" s="36"/>
      <c r="Y59" s="36"/>
      <c r="Z59" s="36"/>
      <c r="AA59" s="36"/>
      <c r="AB59" s="37"/>
      <c r="AC59" s="29"/>
      <c r="AD59" s="29"/>
      <c r="AE59" s="29"/>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row>
    <row r="60" spans="1:102" s="30" customFormat="1" ht="16.5" x14ac:dyDescent="0.3">
      <c r="A60" s="24"/>
      <c r="B60" s="25"/>
      <c r="C60" s="24"/>
      <c r="D60" s="24"/>
      <c r="E60" s="24"/>
      <c r="F60" s="24"/>
      <c r="G60" s="24"/>
      <c r="H60" s="24"/>
      <c r="I60" s="69"/>
      <c r="J60" s="24"/>
      <c r="K60" s="33"/>
      <c r="L60" s="24"/>
      <c r="M60" s="24"/>
      <c r="N60" s="24"/>
      <c r="O60" s="24"/>
      <c r="P60" s="24"/>
      <c r="Q60" s="24"/>
      <c r="R60" s="24"/>
      <c r="S60" s="24"/>
      <c r="T60" s="24"/>
      <c r="U60" s="24"/>
      <c r="V60" s="24"/>
      <c r="W60" s="24"/>
      <c r="X60" s="24"/>
      <c r="Y60" s="24"/>
      <c r="Z60" s="24"/>
      <c r="AA60" s="24"/>
      <c r="AB60" s="34"/>
      <c r="AC60" s="29"/>
      <c r="AD60" s="29"/>
      <c r="AE60" s="29"/>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row>
    <row r="61" spans="1:102" s="30" customFormat="1" ht="17.25" thickBot="1" x14ac:dyDescent="0.35">
      <c r="A61" s="24"/>
      <c r="B61" s="25"/>
      <c r="C61" s="24"/>
      <c r="D61" s="24"/>
      <c r="E61" s="24"/>
      <c r="F61" s="24"/>
      <c r="G61" s="24"/>
      <c r="H61" s="24"/>
      <c r="I61" s="69"/>
      <c r="J61" s="24"/>
      <c r="K61" s="47"/>
      <c r="L61" s="48"/>
      <c r="M61" s="48"/>
      <c r="N61" s="48"/>
      <c r="O61" s="48"/>
      <c r="P61" s="48"/>
      <c r="Q61" s="48"/>
      <c r="R61" s="48"/>
      <c r="S61" s="48"/>
      <c r="T61" s="48"/>
      <c r="U61" s="48"/>
      <c r="V61" s="48"/>
      <c r="W61" s="48"/>
      <c r="X61" s="48"/>
      <c r="Y61" s="48"/>
      <c r="Z61" s="48"/>
      <c r="AA61" s="48"/>
      <c r="AB61" s="49"/>
      <c r="AC61" s="29"/>
      <c r="AD61" s="29"/>
      <c r="AE61" s="29"/>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row>
  </sheetData>
  <sheetProtection formatCells="0" formatColumns="0" formatRows="0" autoFilter="0" pivotTables="0"/>
  <mergeCells count="29">
    <mergeCell ref="K52:AB52"/>
    <mergeCell ref="K54:AB54"/>
    <mergeCell ref="K56:AB56"/>
    <mergeCell ref="K58:AB58"/>
    <mergeCell ref="C19:Y19"/>
    <mergeCell ref="C21:Y21"/>
    <mergeCell ref="C44:Y44"/>
    <mergeCell ref="C47:Y47"/>
    <mergeCell ref="C23:Y23"/>
    <mergeCell ref="C25:Y25"/>
    <mergeCell ref="C34:Y34"/>
    <mergeCell ref="C38:Y38"/>
    <mergeCell ref="C31:X31"/>
    <mergeCell ref="C40:Y40"/>
    <mergeCell ref="C42:Y42"/>
    <mergeCell ref="B2:AB2"/>
    <mergeCell ref="B3:AB3"/>
    <mergeCell ref="C13:Y13"/>
    <mergeCell ref="C15:Y15"/>
    <mergeCell ref="C17:Y17"/>
    <mergeCell ref="I9:J9"/>
    <mergeCell ref="K9:S9"/>
    <mergeCell ref="T9:Y9"/>
    <mergeCell ref="B9:B10"/>
    <mergeCell ref="C9:C10"/>
    <mergeCell ref="D9:E9"/>
    <mergeCell ref="F9:F10"/>
    <mergeCell ref="G9:G10"/>
    <mergeCell ref="H9:H10"/>
  </mergeCells>
  <conditionalFormatting sqref="Z12 Z14 Z16 Z18 Z20 Z22 Z24 Z26:Z28 Z30 Z32:Z33 Z35:Z37 Z39 Z41 Z43 Z45:Z46 Z48">
    <cfRule type="cellIs" dxfId="4" priority="3" operator="lessThan">
      <formula>75</formula>
    </cfRule>
    <cfRule type="cellIs" dxfId="3" priority="4" operator="between">
      <formula>75</formula>
      <formula>95</formula>
    </cfRule>
    <cfRule type="cellIs" dxfId="2" priority="5" operator="greaterThanOrEqual">
      <formula>95</formula>
    </cfRule>
  </conditionalFormatting>
  <dataValidations count="1">
    <dataValidation type="list" allowBlank="1" showInputMessage="1" showErrorMessage="1" sqref="H39 H12 H35:H37 H20 H22 H24 H18 H30 H32:H33 H26:H28 H14 H16 H41 H43 H45:H46 H48" xr:uid="{00000000-0002-0000-0100-000000000000}">
      <formula1>INDIRECT($G12)</formula1>
    </dataValidation>
  </dataValidations>
  <pageMargins left="0.23622047244094491" right="0.11811023622047245" top="0.19685039370078741" bottom="0.39370078740157483" header="0.31496062992125984" footer="0.31496062992125984"/>
  <pageSetup paperSize="8" scale="60" fitToHeight="0" orientation="landscape" r:id="rId1"/>
  <rowBreaks count="1" manualBreakCount="1">
    <brk id="33" max="28" man="1"/>
  </rowBreaks>
  <extLst>
    <ext xmlns:x14="http://schemas.microsoft.com/office/spreadsheetml/2009/9/main" uri="{78C0D931-6437-407d-A8EE-F0AAD7539E65}">
      <x14:conditionalFormattings>
        <x14:conditionalFormatting xmlns:xm="http://schemas.microsoft.com/office/excel/2006/main">
          <x14:cfRule type="containsText" priority="1" operator="containsText" id="{C625A7D3-332D-4ABC-B554-8E79B6FDE855}">
            <xm:f>NOT(ISERROR(SEARCH("ND",Z12)))</xm:f>
            <xm:f>"ND"</xm:f>
            <x14:dxf>
              <fill>
                <patternFill patternType="none">
                  <bgColor auto="1"/>
                </patternFill>
              </fill>
            </x14:dxf>
          </x14:cfRule>
          <x14:cfRule type="containsText" priority="2" operator="containsText" id="{D65EAD20-2A07-4841-9216-5C0EEF3B913B}">
            <xm:f>NOT(ISERROR(SEARCH("Llenar",Z12)))</xm:f>
            <xm:f>"Llenar"</xm:f>
            <x14:dxf>
              <fill>
                <patternFill patternType="none">
                  <bgColor auto="1"/>
                </patternFill>
              </fill>
            </x14:dxf>
          </x14:cfRule>
          <xm:sqref>Z12 Z14 Z16 Z18 Z20 Z22 Z24 Z26:Z28 Z30 Z32:Z33 Z35:Z37 Z39 Z41 Z43 Z45:Z46 Z48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lista!$B$5:$B$7</xm:f>
          </x14:formula1>
          <xm:sqref>G12 G39 G14 G16 G18 G20 G22 G24 G26:G28 G30 G32:G33 G35:G37 G41 G43 G45:G46 G48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E8"/>
  <sheetViews>
    <sheetView workbookViewId="0"/>
  </sheetViews>
  <sheetFormatPr baseColWidth="10" defaultRowHeight="15" x14ac:dyDescent="0.25"/>
  <sheetData>
    <row r="4" spans="2:5" ht="15.75" thickBot="1" x14ac:dyDescent="0.3">
      <c r="B4" s="3" t="s">
        <v>34</v>
      </c>
      <c r="C4" s="3" t="s">
        <v>35</v>
      </c>
      <c r="D4" s="3" t="s">
        <v>36</v>
      </c>
      <c r="E4" s="3" t="s">
        <v>37</v>
      </c>
    </row>
    <row r="5" spans="2:5" ht="16.5" thickTop="1" thickBot="1" x14ac:dyDescent="0.3">
      <c r="B5" s="4" t="s">
        <v>35</v>
      </c>
      <c r="C5" s="4" t="s">
        <v>38</v>
      </c>
      <c r="D5" s="4" t="s">
        <v>38</v>
      </c>
      <c r="E5" s="4" t="s">
        <v>39</v>
      </c>
    </row>
    <row r="6" spans="2:5" ht="16.5" thickTop="1" thickBot="1" x14ac:dyDescent="0.3">
      <c r="B6" s="4" t="s">
        <v>36</v>
      </c>
      <c r="C6" s="4" t="s">
        <v>40</v>
      </c>
      <c r="D6" s="4" t="s">
        <v>40</v>
      </c>
      <c r="E6" s="4" t="s">
        <v>41</v>
      </c>
    </row>
    <row r="7" spans="2:5" ht="16.5" thickTop="1" thickBot="1" x14ac:dyDescent="0.3">
      <c r="B7" s="4" t="s">
        <v>42</v>
      </c>
    </row>
    <row r="8" spans="2:5" ht="15.75" thickTop="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Instrucciones</vt:lpstr>
      <vt:lpstr>1. </vt:lpstr>
      <vt:lpstr>lista</vt:lpstr>
      <vt:lpstr>'1. '!Área_de_impresión</vt:lpstr>
      <vt:lpstr>Ascendente</vt:lpstr>
      <vt:lpstr>Descendente</vt:lpstr>
      <vt:lpstr>No_definido</vt:lpstr>
      <vt:lpstr>'1.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Yuliana G. Rojas Vilchez</dc:creator>
  <cp:lastModifiedBy>Carlos Alberto Giribaldi Mendoza</cp:lastModifiedBy>
  <cp:lastPrinted>2023-09-29T20:18:40Z</cp:lastPrinted>
  <dcterms:created xsi:type="dcterms:W3CDTF">2023-08-04T19:56:16Z</dcterms:created>
  <dcterms:modified xsi:type="dcterms:W3CDTF">2023-09-29T21:20:32Z</dcterms:modified>
</cp:coreProperties>
</file>